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vlad\Desktop\site\opendata\"/>
    </mc:Choice>
  </mc:AlternateContent>
  <xr:revisionPtr revIDLastSave="0" documentId="13_ncr:1_{44F47383-0856-4A6F-950A-F02BB2571A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l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64" i="1" l="1"/>
  <c r="H1763" i="1"/>
  <c r="H1762" i="1"/>
  <c r="H1761" i="1"/>
  <c r="H1759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39" i="1"/>
  <c r="H1638" i="1"/>
  <c r="H1637" i="1"/>
  <c r="H1636" i="1"/>
  <c r="H1635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1" i="1"/>
  <c r="H1440" i="1"/>
  <c r="H1439" i="1"/>
  <c r="H1437" i="1"/>
  <c r="H1436" i="1"/>
  <c r="H1434" i="1"/>
  <c r="H1433" i="1"/>
  <c r="H1432" i="1"/>
  <c r="H1431" i="1"/>
  <c r="H1428" i="1"/>
  <c r="H1426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6" i="1"/>
  <c r="H1245" i="1"/>
  <c r="H1244" i="1"/>
  <c r="H1243" i="1"/>
  <c r="H1242" i="1"/>
  <c r="H1241" i="1"/>
  <c r="H1239" i="1"/>
  <c r="H1238" i="1"/>
  <c r="H1237" i="1"/>
  <c r="H1236" i="1"/>
  <c r="H1235" i="1"/>
  <c r="H1234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5" i="1"/>
  <c r="H1214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J3205" i="1"/>
  <c r="I3205" i="1"/>
  <c r="H3205" i="1"/>
  <c r="G3205" i="1"/>
  <c r="F3205" i="1"/>
  <c r="E3205" i="1"/>
  <c r="D3205" i="1"/>
  <c r="C3205" i="1"/>
  <c r="B3205" i="1"/>
  <c r="A3205" i="1"/>
  <c r="J3204" i="1"/>
  <c r="I3204" i="1"/>
  <c r="H3204" i="1"/>
  <c r="G3204" i="1"/>
  <c r="F3204" i="1"/>
  <c r="E3204" i="1"/>
  <c r="D3204" i="1"/>
  <c r="C3204" i="1"/>
  <c r="B3204" i="1"/>
  <c r="A3204" i="1"/>
  <c r="J3203" i="1"/>
  <c r="I3203" i="1"/>
  <c r="H3203" i="1"/>
  <c r="G3203" i="1"/>
  <c r="F3203" i="1"/>
  <c r="E3203" i="1"/>
  <c r="D3203" i="1"/>
  <c r="C3203" i="1"/>
  <c r="B3203" i="1"/>
  <c r="A3203" i="1"/>
  <c r="J3202" i="1"/>
  <c r="I3202" i="1"/>
  <c r="H3202" i="1"/>
  <c r="G3202" i="1"/>
  <c r="F3202" i="1"/>
  <c r="E3202" i="1"/>
  <c r="D3202" i="1"/>
  <c r="C3202" i="1"/>
  <c r="B3202" i="1"/>
  <c r="A3202" i="1"/>
  <c r="J3201" i="1"/>
  <c r="I3201" i="1"/>
  <c r="H3201" i="1"/>
  <c r="G3201" i="1"/>
  <c r="F3201" i="1"/>
  <c r="E3201" i="1"/>
  <c r="D3201" i="1"/>
  <c r="C3201" i="1"/>
  <c r="B3201" i="1"/>
  <c r="A3201" i="1"/>
  <c r="J3200" i="1"/>
  <c r="I3200" i="1"/>
  <c r="H3200" i="1"/>
  <c r="G3200" i="1"/>
  <c r="F3200" i="1"/>
  <c r="E3200" i="1"/>
  <c r="D3200" i="1"/>
  <c r="C3200" i="1"/>
  <c r="B3200" i="1"/>
  <c r="A3200" i="1"/>
  <c r="J3199" i="1"/>
  <c r="I3199" i="1"/>
  <c r="H3199" i="1"/>
  <c r="G3199" i="1"/>
  <c r="F3199" i="1"/>
  <c r="E3199" i="1"/>
  <c r="D3199" i="1"/>
  <c r="C3199" i="1"/>
  <c r="B3199" i="1"/>
  <c r="A3199" i="1"/>
  <c r="J3198" i="1"/>
  <c r="I3198" i="1"/>
  <c r="H3198" i="1"/>
  <c r="G3198" i="1"/>
  <c r="F3198" i="1"/>
  <c r="E3198" i="1"/>
  <c r="D3198" i="1"/>
  <c r="C3198" i="1"/>
  <c r="B3198" i="1"/>
  <c r="A3198" i="1"/>
  <c r="J3197" i="1"/>
  <c r="I3197" i="1"/>
  <c r="H3197" i="1"/>
  <c r="G3197" i="1"/>
  <c r="F3197" i="1"/>
  <c r="E3197" i="1"/>
  <c r="D3197" i="1"/>
  <c r="C3197" i="1"/>
  <c r="B3197" i="1"/>
  <c r="A3197" i="1"/>
  <c r="J3196" i="1"/>
  <c r="I3196" i="1"/>
  <c r="H3196" i="1"/>
  <c r="G3196" i="1"/>
  <c r="F3196" i="1"/>
  <c r="E3196" i="1"/>
  <c r="D3196" i="1"/>
  <c r="C3196" i="1"/>
  <c r="B3196" i="1"/>
  <c r="A3196" i="1"/>
  <c r="J3195" i="1"/>
  <c r="I3195" i="1"/>
  <c r="H3195" i="1"/>
  <c r="G3195" i="1"/>
  <c r="F3195" i="1"/>
  <c r="E3195" i="1"/>
  <c r="D3195" i="1"/>
  <c r="C3195" i="1"/>
  <c r="B3195" i="1"/>
  <c r="A3195" i="1"/>
  <c r="J3194" i="1"/>
  <c r="I3194" i="1"/>
  <c r="H3194" i="1"/>
  <c r="G3194" i="1"/>
  <c r="F3194" i="1"/>
  <c r="E3194" i="1"/>
  <c r="D3194" i="1"/>
  <c r="C3194" i="1"/>
  <c r="B3194" i="1"/>
  <c r="A3194" i="1"/>
  <c r="J3193" i="1"/>
  <c r="I3193" i="1"/>
  <c r="H3193" i="1"/>
  <c r="G3193" i="1"/>
  <c r="F3193" i="1"/>
  <c r="E3193" i="1"/>
  <c r="D3193" i="1"/>
  <c r="C3193" i="1"/>
  <c r="B3193" i="1"/>
  <c r="A3193" i="1"/>
  <c r="J3192" i="1"/>
  <c r="I3192" i="1"/>
  <c r="H3192" i="1"/>
  <c r="G3192" i="1"/>
  <c r="F3192" i="1"/>
  <c r="E3192" i="1"/>
  <c r="D3192" i="1"/>
  <c r="C3192" i="1"/>
  <c r="B3192" i="1"/>
  <c r="A3192" i="1"/>
  <c r="J3191" i="1"/>
  <c r="I3191" i="1"/>
  <c r="H3191" i="1"/>
  <c r="G3191" i="1"/>
  <c r="F3191" i="1"/>
  <c r="E3191" i="1"/>
  <c r="D3191" i="1"/>
  <c r="C3191" i="1"/>
  <c r="B3191" i="1"/>
  <c r="A3191" i="1"/>
  <c r="J3190" i="1"/>
  <c r="I3190" i="1"/>
  <c r="H3190" i="1"/>
  <c r="G3190" i="1"/>
  <c r="F3190" i="1"/>
  <c r="E3190" i="1"/>
  <c r="D3190" i="1"/>
  <c r="C3190" i="1"/>
  <c r="B3190" i="1"/>
  <c r="A3190" i="1"/>
  <c r="J3189" i="1"/>
  <c r="I3189" i="1"/>
  <c r="H3189" i="1"/>
  <c r="G3189" i="1"/>
  <c r="F3189" i="1"/>
  <c r="E3189" i="1"/>
  <c r="D3189" i="1"/>
  <c r="C3189" i="1"/>
  <c r="B3189" i="1"/>
  <c r="A3189" i="1"/>
  <c r="J3188" i="1"/>
  <c r="I3188" i="1"/>
  <c r="H3188" i="1"/>
  <c r="G3188" i="1"/>
  <c r="F3188" i="1"/>
  <c r="E3188" i="1"/>
  <c r="D3188" i="1"/>
  <c r="C3188" i="1"/>
  <c r="B3188" i="1"/>
  <c r="A3188" i="1"/>
  <c r="J3187" i="1"/>
  <c r="I3187" i="1"/>
  <c r="H3187" i="1"/>
  <c r="G3187" i="1"/>
  <c r="F3187" i="1"/>
  <c r="E3187" i="1"/>
  <c r="D3187" i="1"/>
  <c r="C3187" i="1"/>
  <c r="B3187" i="1"/>
  <c r="A3187" i="1"/>
  <c r="J3186" i="1"/>
  <c r="I3186" i="1"/>
  <c r="H3186" i="1"/>
  <c r="G3186" i="1"/>
  <c r="F3186" i="1"/>
  <c r="E3186" i="1"/>
  <c r="D3186" i="1"/>
  <c r="C3186" i="1"/>
  <c r="B3186" i="1"/>
  <c r="A3186" i="1"/>
  <c r="J3185" i="1"/>
  <c r="I3185" i="1"/>
  <c r="H3185" i="1"/>
  <c r="G3185" i="1"/>
  <c r="F3185" i="1"/>
  <c r="E3185" i="1"/>
  <c r="D3185" i="1"/>
  <c r="C3185" i="1"/>
  <c r="B3185" i="1"/>
  <c r="A3185" i="1"/>
  <c r="J3184" i="1"/>
  <c r="I3184" i="1"/>
  <c r="H3184" i="1"/>
  <c r="G3184" i="1"/>
  <c r="F3184" i="1"/>
  <c r="E3184" i="1"/>
  <c r="D3184" i="1"/>
  <c r="C3184" i="1"/>
  <c r="B3184" i="1"/>
  <c r="A3184" i="1"/>
  <c r="J3183" i="1"/>
  <c r="I3183" i="1"/>
  <c r="H3183" i="1"/>
  <c r="G3183" i="1"/>
  <c r="F3183" i="1"/>
  <c r="E3183" i="1"/>
  <c r="D3183" i="1"/>
  <c r="C3183" i="1"/>
  <c r="B3183" i="1"/>
  <c r="A3183" i="1"/>
  <c r="J3182" i="1"/>
  <c r="I3182" i="1"/>
  <c r="H3182" i="1"/>
  <c r="G3182" i="1"/>
  <c r="F3182" i="1"/>
  <c r="E3182" i="1"/>
  <c r="D3182" i="1"/>
  <c r="C3182" i="1"/>
  <c r="B3182" i="1"/>
  <c r="A3182" i="1"/>
  <c r="J3181" i="1"/>
  <c r="I3181" i="1"/>
  <c r="H3181" i="1"/>
  <c r="G3181" i="1"/>
  <c r="F3181" i="1"/>
  <c r="E3181" i="1"/>
  <c r="D3181" i="1"/>
  <c r="C3181" i="1"/>
  <c r="B3181" i="1"/>
  <c r="A3181" i="1"/>
  <c r="J3180" i="1"/>
  <c r="I3180" i="1"/>
  <c r="H3180" i="1"/>
  <c r="G3180" i="1"/>
  <c r="F3180" i="1"/>
  <c r="E3180" i="1"/>
  <c r="D3180" i="1"/>
  <c r="C3180" i="1"/>
  <c r="B3180" i="1"/>
  <c r="A3180" i="1"/>
  <c r="J3179" i="1"/>
  <c r="I3179" i="1"/>
  <c r="H3179" i="1"/>
  <c r="G3179" i="1"/>
  <c r="F3179" i="1"/>
  <c r="E3179" i="1"/>
  <c r="D3179" i="1"/>
  <c r="C3179" i="1"/>
  <c r="B3179" i="1"/>
  <c r="A3179" i="1"/>
  <c r="J3178" i="1"/>
  <c r="I3178" i="1"/>
  <c r="H3178" i="1"/>
  <c r="G3178" i="1"/>
  <c r="F3178" i="1"/>
  <c r="E3178" i="1"/>
  <c r="D3178" i="1"/>
  <c r="C3178" i="1"/>
  <c r="B3178" i="1"/>
  <c r="A3178" i="1"/>
  <c r="J3177" i="1"/>
  <c r="I3177" i="1"/>
  <c r="H3177" i="1"/>
  <c r="G3177" i="1"/>
  <c r="F3177" i="1"/>
  <c r="E3177" i="1"/>
  <c r="D3177" i="1"/>
  <c r="C3177" i="1"/>
  <c r="B3177" i="1"/>
  <c r="A3177" i="1"/>
  <c r="J3176" i="1"/>
  <c r="I3176" i="1"/>
  <c r="H3176" i="1"/>
  <c r="G3176" i="1"/>
  <c r="F3176" i="1"/>
  <c r="E3176" i="1"/>
  <c r="D3176" i="1"/>
  <c r="C3176" i="1"/>
  <c r="B3176" i="1"/>
  <c r="A3176" i="1"/>
  <c r="J3175" i="1"/>
  <c r="I3175" i="1"/>
  <c r="H3175" i="1"/>
  <c r="G3175" i="1"/>
  <c r="F3175" i="1"/>
  <c r="E3175" i="1"/>
  <c r="D3175" i="1"/>
  <c r="C3175" i="1"/>
  <c r="B3175" i="1"/>
  <c r="A3175" i="1"/>
  <c r="J3174" i="1"/>
  <c r="I3174" i="1"/>
  <c r="H3174" i="1"/>
  <c r="G3174" i="1"/>
  <c r="F3174" i="1"/>
  <c r="E3174" i="1"/>
  <c r="D3174" i="1"/>
  <c r="C3174" i="1"/>
  <c r="B3174" i="1"/>
  <c r="A3174" i="1"/>
  <c r="J3173" i="1"/>
  <c r="I3173" i="1"/>
  <c r="H3173" i="1"/>
  <c r="G3173" i="1"/>
  <c r="F3173" i="1"/>
  <c r="E3173" i="1"/>
  <c r="D3173" i="1"/>
  <c r="C3173" i="1"/>
  <c r="B3173" i="1"/>
  <c r="A3173" i="1"/>
  <c r="J3172" i="1"/>
  <c r="I3172" i="1"/>
  <c r="H3172" i="1"/>
  <c r="G3172" i="1"/>
  <c r="F3172" i="1"/>
  <c r="E3172" i="1"/>
  <c r="D3172" i="1"/>
  <c r="C3172" i="1"/>
  <c r="B3172" i="1"/>
  <c r="A3172" i="1"/>
  <c r="J3171" i="1"/>
  <c r="I3171" i="1"/>
  <c r="H3171" i="1"/>
  <c r="G3171" i="1"/>
  <c r="F3171" i="1"/>
  <c r="E3171" i="1"/>
  <c r="D3171" i="1"/>
  <c r="C3171" i="1"/>
  <c r="B3171" i="1"/>
  <c r="A3171" i="1"/>
  <c r="J3170" i="1"/>
  <c r="I3170" i="1"/>
  <c r="H3170" i="1"/>
  <c r="G3170" i="1"/>
  <c r="F3170" i="1"/>
  <c r="E3170" i="1"/>
  <c r="D3170" i="1"/>
  <c r="C3170" i="1"/>
  <c r="B3170" i="1"/>
  <c r="A3170" i="1"/>
  <c r="J3169" i="1"/>
  <c r="I3169" i="1"/>
  <c r="H3169" i="1"/>
  <c r="G3169" i="1"/>
  <c r="F3169" i="1"/>
  <c r="E3169" i="1"/>
  <c r="D3169" i="1"/>
  <c r="C3169" i="1"/>
  <c r="B3169" i="1"/>
  <c r="A3169" i="1"/>
  <c r="J3168" i="1"/>
  <c r="I3168" i="1"/>
  <c r="H3168" i="1"/>
  <c r="G3168" i="1"/>
  <c r="F3168" i="1"/>
  <c r="E3168" i="1"/>
  <c r="D3168" i="1"/>
  <c r="C3168" i="1"/>
  <c r="B3168" i="1"/>
  <c r="A3168" i="1"/>
  <c r="J3167" i="1"/>
  <c r="I3167" i="1"/>
  <c r="H3167" i="1"/>
  <c r="G3167" i="1"/>
  <c r="F3167" i="1"/>
  <c r="E3167" i="1"/>
  <c r="D3167" i="1"/>
  <c r="C3167" i="1"/>
  <c r="B3167" i="1"/>
  <c r="A3167" i="1"/>
  <c r="J3166" i="1"/>
  <c r="I3166" i="1"/>
  <c r="H3166" i="1"/>
  <c r="G3166" i="1"/>
  <c r="F3166" i="1"/>
  <c r="E3166" i="1"/>
  <c r="D3166" i="1"/>
  <c r="C3166" i="1"/>
  <c r="B3166" i="1"/>
  <c r="A3166" i="1"/>
  <c r="J3165" i="1"/>
  <c r="I3165" i="1"/>
  <c r="H3165" i="1"/>
  <c r="G3165" i="1"/>
  <c r="F3165" i="1"/>
  <c r="E3165" i="1"/>
  <c r="D3165" i="1"/>
  <c r="C3165" i="1"/>
  <c r="B3165" i="1"/>
  <c r="A3165" i="1"/>
  <c r="J3164" i="1"/>
  <c r="I3164" i="1"/>
  <c r="H3164" i="1"/>
  <c r="G3164" i="1"/>
  <c r="F3164" i="1"/>
  <c r="E3164" i="1"/>
  <c r="C3164" i="1"/>
  <c r="B3164" i="1"/>
  <c r="A3164" i="1"/>
  <c r="J3163" i="1"/>
  <c r="I3163" i="1"/>
  <c r="H3163" i="1"/>
  <c r="G3163" i="1"/>
  <c r="F3163" i="1"/>
  <c r="E3163" i="1"/>
  <c r="D3163" i="1"/>
  <c r="C3163" i="1"/>
  <c r="B3163" i="1"/>
  <c r="A3163" i="1"/>
  <c r="J3162" i="1"/>
  <c r="I3162" i="1"/>
  <c r="H3162" i="1"/>
  <c r="G3162" i="1"/>
  <c r="F3162" i="1"/>
  <c r="E3162" i="1"/>
  <c r="D3162" i="1"/>
  <c r="C3162" i="1"/>
  <c r="B3162" i="1"/>
  <c r="A3162" i="1"/>
  <c r="J3161" i="1"/>
  <c r="I3161" i="1"/>
  <c r="H3161" i="1"/>
  <c r="G3161" i="1"/>
  <c r="F3161" i="1"/>
  <c r="E3161" i="1"/>
  <c r="D3161" i="1"/>
  <c r="C3161" i="1"/>
  <c r="B3161" i="1"/>
  <c r="A3161" i="1"/>
  <c r="J3160" i="1"/>
  <c r="I3160" i="1"/>
  <c r="H3160" i="1"/>
  <c r="G3160" i="1"/>
  <c r="F3160" i="1"/>
  <c r="E3160" i="1"/>
  <c r="D3160" i="1"/>
  <c r="C3160" i="1"/>
  <c r="B3160" i="1"/>
  <c r="A3160" i="1"/>
  <c r="J3159" i="1"/>
  <c r="I3159" i="1"/>
  <c r="H3159" i="1"/>
  <c r="G3159" i="1"/>
  <c r="F3159" i="1"/>
  <c r="E3159" i="1"/>
  <c r="D3159" i="1"/>
  <c r="C3159" i="1"/>
  <c r="B3159" i="1"/>
  <c r="A3159" i="1"/>
  <c r="J3158" i="1"/>
  <c r="I3158" i="1"/>
  <c r="H3158" i="1"/>
  <c r="G3158" i="1"/>
  <c r="F3158" i="1"/>
  <c r="E3158" i="1"/>
  <c r="D3158" i="1"/>
  <c r="C3158" i="1"/>
  <c r="B3158" i="1"/>
  <c r="A3158" i="1"/>
  <c r="J3157" i="1"/>
  <c r="I3157" i="1"/>
  <c r="H3157" i="1"/>
  <c r="G3157" i="1"/>
  <c r="F3157" i="1"/>
  <c r="E3157" i="1"/>
  <c r="D3157" i="1"/>
  <c r="C3157" i="1"/>
  <c r="B3157" i="1"/>
  <c r="A3157" i="1"/>
  <c r="J3156" i="1"/>
  <c r="I3156" i="1"/>
  <c r="H3156" i="1"/>
  <c r="G3156" i="1"/>
  <c r="F3156" i="1"/>
  <c r="E3156" i="1"/>
  <c r="D3156" i="1"/>
  <c r="C3156" i="1"/>
  <c r="B3156" i="1"/>
  <c r="A3156" i="1"/>
  <c r="J3155" i="1"/>
  <c r="I3155" i="1"/>
  <c r="H3155" i="1"/>
  <c r="G3155" i="1"/>
  <c r="F3155" i="1"/>
  <c r="E3155" i="1"/>
  <c r="D3155" i="1"/>
  <c r="C3155" i="1"/>
  <c r="B3155" i="1"/>
  <c r="A3155" i="1"/>
  <c r="J3154" i="1"/>
  <c r="I3154" i="1"/>
  <c r="H3154" i="1"/>
  <c r="G3154" i="1"/>
  <c r="F3154" i="1"/>
  <c r="E3154" i="1"/>
  <c r="D3154" i="1"/>
  <c r="C3154" i="1"/>
  <c r="B3154" i="1"/>
  <c r="A3154" i="1"/>
  <c r="J3153" i="1"/>
  <c r="I3153" i="1"/>
  <c r="H3153" i="1"/>
  <c r="G3153" i="1"/>
  <c r="F3153" i="1"/>
  <c r="E3153" i="1"/>
  <c r="D3153" i="1"/>
  <c r="C3153" i="1"/>
  <c r="B3153" i="1"/>
  <c r="A3153" i="1"/>
  <c r="J3152" i="1"/>
  <c r="I3152" i="1"/>
  <c r="H3152" i="1"/>
  <c r="G3152" i="1"/>
  <c r="F3152" i="1"/>
  <c r="E3152" i="1"/>
  <c r="D3152" i="1"/>
  <c r="C3152" i="1"/>
  <c r="B3152" i="1"/>
  <c r="A3152" i="1"/>
  <c r="J3151" i="1"/>
  <c r="I3151" i="1"/>
  <c r="H3151" i="1"/>
  <c r="G3151" i="1"/>
  <c r="F3151" i="1"/>
  <c r="E3151" i="1"/>
  <c r="D3151" i="1"/>
  <c r="C3151" i="1"/>
  <c r="B3151" i="1"/>
  <c r="A3151" i="1"/>
  <c r="J3150" i="1"/>
  <c r="I3150" i="1"/>
  <c r="H3150" i="1"/>
  <c r="G3150" i="1"/>
  <c r="F3150" i="1"/>
  <c r="E3150" i="1"/>
  <c r="D3150" i="1"/>
  <c r="C3150" i="1"/>
  <c r="B3150" i="1"/>
  <c r="A3150" i="1"/>
  <c r="J3149" i="1"/>
  <c r="I3149" i="1"/>
  <c r="H3149" i="1"/>
  <c r="G3149" i="1"/>
  <c r="F3149" i="1"/>
  <c r="E3149" i="1"/>
  <c r="D3149" i="1"/>
  <c r="C3149" i="1"/>
  <c r="B3149" i="1"/>
  <c r="A3149" i="1"/>
  <c r="J3148" i="1"/>
  <c r="I3148" i="1"/>
  <c r="H3148" i="1"/>
  <c r="G3148" i="1"/>
  <c r="F3148" i="1"/>
  <c r="E3148" i="1"/>
  <c r="D3148" i="1"/>
  <c r="C3148" i="1"/>
  <c r="B3148" i="1"/>
  <c r="A3148" i="1"/>
  <c r="J3147" i="1"/>
  <c r="I3147" i="1"/>
  <c r="H3147" i="1"/>
  <c r="G3147" i="1"/>
  <c r="F3147" i="1"/>
  <c r="E3147" i="1"/>
  <c r="D3147" i="1"/>
  <c r="C3147" i="1"/>
  <c r="B3147" i="1"/>
  <c r="A3147" i="1"/>
  <c r="J3146" i="1"/>
  <c r="I3146" i="1"/>
  <c r="H3146" i="1"/>
  <c r="G3146" i="1"/>
  <c r="F3146" i="1"/>
  <c r="E3146" i="1"/>
  <c r="D3146" i="1"/>
  <c r="C3146" i="1"/>
  <c r="B3146" i="1"/>
  <c r="A3146" i="1"/>
  <c r="J3145" i="1"/>
  <c r="I3145" i="1"/>
  <c r="H3145" i="1"/>
  <c r="G3145" i="1"/>
  <c r="F3145" i="1"/>
  <c r="E3145" i="1"/>
  <c r="D3145" i="1"/>
  <c r="C3145" i="1"/>
  <c r="B3145" i="1"/>
  <c r="A3145" i="1"/>
  <c r="J3144" i="1"/>
  <c r="I3144" i="1"/>
  <c r="H3144" i="1"/>
  <c r="G3144" i="1"/>
  <c r="F3144" i="1"/>
  <c r="E3144" i="1"/>
  <c r="D3144" i="1"/>
  <c r="C3144" i="1"/>
  <c r="B3144" i="1"/>
  <c r="A3144" i="1"/>
  <c r="J3143" i="1"/>
  <c r="I3143" i="1"/>
  <c r="H3143" i="1"/>
  <c r="G3143" i="1"/>
  <c r="F3143" i="1"/>
  <c r="E3143" i="1"/>
  <c r="D3143" i="1"/>
  <c r="C3143" i="1"/>
  <c r="B3143" i="1"/>
  <c r="A3143" i="1"/>
  <c r="J3142" i="1"/>
  <c r="I3142" i="1"/>
  <c r="H3142" i="1"/>
  <c r="G3142" i="1"/>
  <c r="F3142" i="1"/>
  <c r="E3142" i="1"/>
  <c r="D3142" i="1"/>
  <c r="C3142" i="1"/>
  <c r="B3142" i="1"/>
  <c r="A3142" i="1"/>
  <c r="J3141" i="1"/>
  <c r="I3141" i="1"/>
  <c r="H3141" i="1"/>
  <c r="G3141" i="1"/>
  <c r="F3141" i="1"/>
  <c r="E3141" i="1"/>
  <c r="D3141" i="1"/>
  <c r="C3141" i="1"/>
  <c r="B3141" i="1"/>
  <c r="A3141" i="1"/>
  <c r="J3140" i="1"/>
  <c r="I3140" i="1"/>
  <c r="H3140" i="1"/>
  <c r="G3140" i="1"/>
  <c r="F3140" i="1"/>
  <c r="E3140" i="1"/>
  <c r="C3140" i="1"/>
  <c r="B3140" i="1"/>
  <c r="A3140" i="1"/>
  <c r="J3139" i="1"/>
  <c r="I3139" i="1"/>
  <c r="H3139" i="1"/>
  <c r="G3139" i="1"/>
  <c r="F3139" i="1"/>
  <c r="E3139" i="1"/>
  <c r="D3139" i="1"/>
  <c r="C3139" i="1"/>
  <c r="B3139" i="1"/>
  <c r="A3139" i="1"/>
  <c r="J3138" i="1"/>
  <c r="I3138" i="1"/>
  <c r="H3138" i="1"/>
  <c r="G3138" i="1"/>
  <c r="F3138" i="1"/>
  <c r="E3138" i="1"/>
  <c r="D3138" i="1"/>
  <c r="C3138" i="1"/>
  <c r="B3138" i="1"/>
  <c r="A3138" i="1"/>
  <c r="J3137" i="1"/>
  <c r="I3137" i="1"/>
  <c r="H3137" i="1"/>
  <c r="G3137" i="1"/>
  <c r="F3137" i="1"/>
  <c r="E3137" i="1"/>
  <c r="D3137" i="1"/>
  <c r="C3137" i="1"/>
  <c r="B3137" i="1"/>
  <c r="A3137" i="1"/>
  <c r="J3136" i="1"/>
  <c r="I3136" i="1"/>
  <c r="H3136" i="1"/>
  <c r="G3136" i="1"/>
  <c r="F3136" i="1"/>
  <c r="E3136" i="1"/>
  <c r="D3136" i="1"/>
  <c r="C3136" i="1"/>
  <c r="B3136" i="1"/>
  <c r="A3136" i="1"/>
  <c r="J3135" i="1"/>
  <c r="I3135" i="1"/>
  <c r="H3135" i="1"/>
  <c r="G3135" i="1"/>
  <c r="F3135" i="1"/>
  <c r="E3135" i="1"/>
  <c r="D3135" i="1"/>
  <c r="C3135" i="1"/>
  <c r="B3135" i="1"/>
  <c r="A3135" i="1"/>
  <c r="J3134" i="1"/>
  <c r="I3134" i="1"/>
  <c r="H3134" i="1"/>
  <c r="G3134" i="1"/>
  <c r="F3134" i="1"/>
  <c r="E3134" i="1"/>
  <c r="D3134" i="1"/>
  <c r="C3134" i="1"/>
  <c r="B3134" i="1"/>
  <c r="A3134" i="1"/>
  <c r="J3133" i="1"/>
  <c r="I3133" i="1"/>
  <c r="H3133" i="1"/>
  <c r="G3133" i="1"/>
  <c r="F3133" i="1"/>
  <c r="E3133" i="1"/>
  <c r="D3133" i="1"/>
  <c r="C3133" i="1"/>
  <c r="B3133" i="1"/>
  <c r="A3133" i="1"/>
  <c r="J3132" i="1"/>
  <c r="I3132" i="1"/>
  <c r="H3132" i="1"/>
  <c r="G3132" i="1"/>
  <c r="F3132" i="1"/>
  <c r="E3132" i="1"/>
  <c r="D3132" i="1"/>
  <c r="C3132" i="1"/>
  <c r="B3132" i="1"/>
  <c r="A3132" i="1"/>
  <c r="J3131" i="1"/>
  <c r="I3131" i="1"/>
  <c r="H3131" i="1"/>
  <c r="G3131" i="1"/>
  <c r="F3131" i="1"/>
  <c r="E3131" i="1"/>
  <c r="D3131" i="1"/>
  <c r="C3131" i="1"/>
  <c r="B3131" i="1"/>
  <c r="A3131" i="1"/>
  <c r="J3130" i="1"/>
  <c r="I3130" i="1"/>
  <c r="H3130" i="1"/>
  <c r="G3130" i="1"/>
  <c r="F3130" i="1"/>
  <c r="E3130" i="1"/>
  <c r="D3130" i="1"/>
  <c r="C3130" i="1"/>
  <c r="B3130" i="1"/>
  <c r="A3130" i="1"/>
  <c r="J3129" i="1"/>
  <c r="I3129" i="1"/>
  <c r="H3129" i="1"/>
  <c r="G3129" i="1"/>
  <c r="F3129" i="1"/>
  <c r="E3129" i="1"/>
  <c r="C3129" i="1"/>
  <c r="B3129" i="1"/>
  <c r="A3129" i="1"/>
  <c r="J3128" i="1"/>
  <c r="I3128" i="1"/>
  <c r="H3128" i="1"/>
  <c r="G3128" i="1"/>
  <c r="F3128" i="1"/>
  <c r="E3128" i="1"/>
  <c r="D3128" i="1"/>
  <c r="C3128" i="1"/>
  <c r="B3128" i="1"/>
  <c r="A3128" i="1"/>
  <c r="J3127" i="1"/>
  <c r="I3127" i="1"/>
  <c r="H3127" i="1"/>
  <c r="G3127" i="1"/>
  <c r="F3127" i="1"/>
  <c r="E3127" i="1"/>
  <c r="D3127" i="1"/>
  <c r="C3127" i="1"/>
  <c r="B3127" i="1"/>
  <c r="A3127" i="1"/>
  <c r="J3126" i="1"/>
  <c r="I3126" i="1"/>
  <c r="H3126" i="1"/>
  <c r="G3126" i="1"/>
  <c r="F3126" i="1"/>
  <c r="E3126" i="1"/>
  <c r="D3126" i="1"/>
  <c r="C3126" i="1"/>
  <c r="B3126" i="1"/>
  <c r="A3126" i="1"/>
  <c r="J3125" i="1"/>
  <c r="I3125" i="1"/>
  <c r="H3125" i="1"/>
  <c r="G3125" i="1"/>
  <c r="F3125" i="1"/>
  <c r="E3125" i="1"/>
  <c r="D3125" i="1"/>
  <c r="C3125" i="1"/>
  <c r="B3125" i="1"/>
  <c r="A3125" i="1"/>
  <c r="J3124" i="1"/>
  <c r="I3124" i="1"/>
  <c r="H3124" i="1"/>
  <c r="G3124" i="1"/>
  <c r="F3124" i="1"/>
  <c r="E3124" i="1"/>
  <c r="D3124" i="1"/>
  <c r="C3124" i="1"/>
  <c r="B3124" i="1"/>
  <c r="A3124" i="1"/>
  <c r="J3123" i="1"/>
  <c r="I3123" i="1"/>
  <c r="H3123" i="1"/>
  <c r="G3123" i="1"/>
  <c r="F3123" i="1"/>
  <c r="E3123" i="1"/>
  <c r="D3123" i="1"/>
  <c r="C3123" i="1"/>
  <c r="B3123" i="1"/>
  <c r="A3123" i="1"/>
  <c r="J3122" i="1"/>
  <c r="I3122" i="1"/>
  <c r="H3122" i="1"/>
  <c r="G3122" i="1"/>
  <c r="F3122" i="1"/>
  <c r="E3122" i="1"/>
  <c r="D3122" i="1"/>
  <c r="C3122" i="1"/>
  <c r="B3122" i="1"/>
  <c r="A3122" i="1"/>
  <c r="J3121" i="1"/>
  <c r="I3121" i="1"/>
  <c r="H3121" i="1"/>
  <c r="G3121" i="1"/>
  <c r="F3121" i="1"/>
  <c r="E3121" i="1"/>
  <c r="D3121" i="1"/>
  <c r="C3121" i="1"/>
  <c r="B3121" i="1"/>
  <c r="A3121" i="1"/>
  <c r="J3120" i="1"/>
  <c r="I3120" i="1"/>
  <c r="H3120" i="1"/>
  <c r="G3120" i="1"/>
  <c r="F3120" i="1"/>
  <c r="E3120" i="1"/>
  <c r="D3120" i="1"/>
  <c r="C3120" i="1"/>
  <c r="B3120" i="1"/>
  <c r="A3120" i="1"/>
  <c r="J3119" i="1"/>
  <c r="I3119" i="1"/>
  <c r="H3119" i="1"/>
  <c r="G3119" i="1"/>
  <c r="F3119" i="1"/>
  <c r="E3119" i="1"/>
  <c r="D3119" i="1"/>
  <c r="C3119" i="1"/>
  <c r="B3119" i="1"/>
  <c r="A3119" i="1"/>
  <c r="J3118" i="1"/>
  <c r="I3118" i="1"/>
  <c r="H3118" i="1"/>
  <c r="G3118" i="1"/>
  <c r="F3118" i="1"/>
  <c r="E3118" i="1"/>
  <c r="D3118" i="1"/>
  <c r="C3118" i="1"/>
  <c r="B3118" i="1"/>
  <c r="A3118" i="1"/>
  <c r="J3117" i="1"/>
  <c r="I3117" i="1"/>
  <c r="H3117" i="1"/>
  <c r="G3117" i="1"/>
  <c r="F3117" i="1"/>
  <c r="E3117" i="1"/>
  <c r="D3117" i="1"/>
  <c r="C3117" i="1"/>
  <c r="B3117" i="1"/>
  <c r="A3117" i="1"/>
  <c r="J3116" i="1"/>
  <c r="I3116" i="1"/>
  <c r="H3116" i="1"/>
  <c r="G3116" i="1"/>
  <c r="F3116" i="1"/>
  <c r="E3116" i="1"/>
  <c r="D3116" i="1"/>
  <c r="C3116" i="1"/>
  <c r="B3116" i="1"/>
  <c r="A3116" i="1"/>
  <c r="J3115" i="1"/>
  <c r="I3115" i="1"/>
  <c r="H3115" i="1"/>
  <c r="G3115" i="1"/>
  <c r="F3115" i="1"/>
  <c r="E3115" i="1"/>
  <c r="D3115" i="1"/>
  <c r="C3115" i="1"/>
  <c r="B3115" i="1"/>
  <c r="A3115" i="1"/>
  <c r="J3114" i="1"/>
  <c r="I3114" i="1"/>
  <c r="H3114" i="1"/>
  <c r="G3114" i="1"/>
  <c r="F3114" i="1"/>
  <c r="E3114" i="1"/>
  <c r="D3114" i="1"/>
  <c r="C3114" i="1"/>
  <c r="B3114" i="1"/>
  <c r="A3114" i="1"/>
  <c r="J3113" i="1"/>
  <c r="I3113" i="1"/>
  <c r="H3113" i="1"/>
  <c r="G3113" i="1"/>
  <c r="F3113" i="1"/>
  <c r="E3113" i="1"/>
  <c r="D3113" i="1"/>
  <c r="C3113" i="1"/>
  <c r="B3113" i="1"/>
  <c r="A3113" i="1"/>
  <c r="J3112" i="1"/>
  <c r="I3112" i="1"/>
  <c r="H3112" i="1"/>
  <c r="G3112" i="1"/>
  <c r="F3112" i="1"/>
  <c r="E3112" i="1"/>
  <c r="D3112" i="1"/>
  <c r="C3112" i="1"/>
  <c r="B3112" i="1"/>
  <c r="A3112" i="1"/>
  <c r="J3111" i="1"/>
  <c r="I3111" i="1"/>
  <c r="H3111" i="1"/>
  <c r="G3111" i="1"/>
  <c r="F3111" i="1"/>
  <c r="E3111" i="1"/>
  <c r="D3111" i="1"/>
  <c r="C3111" i="1"/>
  <c r="B3111" i="1"/>
  <c r="A3111" i="1"/>
  <c r="J3110" i="1"/>
  <c r="I3110" i="1"/>
  <c r="H3110" i="1"/>
  <c r="G3110" i="1"/>
  <c r="F3110" i="1"/>
  <c r="E3110" i="1"/>
  <c r="D3110" i="1"/>
  <c r="C3110" i="1"/>
  <c r="B3110" i="1"/>
  <c r="A3110" i="1"/>
  <c r="J3109" i="1"/>
  <c r="I3109" i="1"/>
  <c r="H3109" i="1"/>
  <c r="G3109" i="1"/>
  <c r="F3109" i="1"/>
  <c r="E3109" i="1"/>
  <c r="D3109" i="1"/>
  <c r="C3109" i="1"/>
  <c r="B3109" i="1"/>
  <c r="A3109" i="1"/>
  <c r="J3108" i="1"/>
  <c r="I3108" i="1"/>
  <c r="H3108" i="1"/>
  <c r="G3108" i="1"/>
  <c r="F3108" i="1"/>
  <c r="E3108" i="1"/>
  <c r="D3108" i="1"/>
  <c r="C3108" i="1"/>
  <c r="B3108" i="1"/>
  <c r="A3108" i="1"/>
  <c r="J3107" i="1"/>
  <c r="I3107" i="1"/>
  <c r="H3107" i="1"/>
  <c r="G3107" i="1"/>
  <c r="F3107" i="1"/>
  <c r="E3107" i="1"/>
  <c r="D3107" i="1"/>
  <c r="C3107" i="1"/>
  <c r="B3107" i="1"/>
  <c r="A3107" i="1"/>
  <c r="J3106" i="1"/>
  <c r="I3106" i="1"/>
  <c r="H3106" i="1"/>
  <c r="G3106" i="1"/>
  <c r="F3106" i="1"/>
  <c r="E3106" i="1"/>
  <c r="D3106" i="1"/>
  <c r="C3106" i="1"/>
  <c r="B3106" i="1"/>
  <c r="A3106" i="1"/>
  <c r="J3105" i="1"/>
  <c r="I3105" i="1"/>
  <c r="H3105" i="1"/>
  <c r="G3105" i="1"/>
  <c r="F3105" i="1"/>
  <c r="E3105" i="1"/>
  <c r="D3105" i="1"/>
  <c r="C3105" i="1"/>
  <c r="B3105" i="1"/>
  <c r="A3105" i="1"/>
  <c r="J3104" i="1"/>
  <c r="I3104" i="1"/>
  <c r="H3104" i="1"/>
  <c r="G3104" i="1"/>
  <c r="F3104" i="1"/>
  <c r="E3104" i="1"/>
  <c r="D3104" i="1"/>
  <c r="C3104" i="1"/>
  <c r="B3104" i="1"/>
  <c r="A3104" i="1"/>
  <c r="J3103" i="1"/>
  <c r="I3103" i="1"/>
  <c r="H3103" i="1"/>
  <c r="G3103" i="1"/>
  <c r="F3103" i="1"/>
  <c r="E3103" i="1"/>
  <c r="D3103" i="1"/>
  <c r="C3103" i="1"/>
  <c r="B3103" i="1"/>
  <c r="A3103" i="1"/>
  <c r="J3102" i="1"/>
  <c r="I3102" i="1"/>
  <c r="H3102" i="1"/>
  <c r="G3102" i="1"/>
  <c r="F3102" i="1"/>
  <c r="E3102" i="1"/>
  <c r="D3102" i="1"/>
  <c r="C3102" i="1"/>
  <c r="B3102" i="1"/>
  <c r="A3102" i="1"/>
  <c r="J3101" i="1"/>
  <c r="I3101" i="1"/>
  <c r="H3101" i="1"/>
  <c r="G3101" i="1"/>
  <c r="F3101" i="1"/>
  <c r="E3101" i="1"/>
  <c r="D3101" i="1"/>
  <c r="C3101" i="1"/>
  <c r="B3101" i="1"/>
  <c r="A3101" i="1"/>
  <c r="J3100" i="1"/>
  <c r="I3100" i="1"/>
  <c r="H3100" i="1"/>
  <c r="G3100" i="1"/>
  <c r="F3100" i="1"/>
  <c r="E3100" i="1"/>
  <c r="D3100" i="1"/>
  <c r="C3100" i="1"/>
  <c r="B3100" i="1"/>
  <c r="A3100" i="1"/>
  <c r="J3099" i="1"/>
  <c r="I3099" i="1"/>
  <c r="H3099" i="1"/>
  <c r="G3099" i="1"/>
  <c r="F3099" i="1"/>
  <c r="E3099" i="1"/>
  <c r="D3099" i="1"/>
  <c r="C3099" i="1"/>
  <c r="B3099" i="1"/>
  <c r="A3099" i="1"/>
  <c r="J3098" i="1"/>
  <c r="I3098" i="1"/>
  <c r="H3098" i="1"/>
  <c r="G3098" i="1"/>
  <c r="F3098" i="1"/>
  <c r="E3098" i="1"/>
  <c r="D3098" i="1"/>
  <c r="C3098" i="1"/>
  <c r="B3098" i="1"/>
  <c r="A3098" i="1"/>
  <c r="J3097" i="1"/>
  <c r="I3097" i="1"/>
  <c r="H3097" i="1"/>
  <c r="G3097" i="1"/>
  <c r="F3097" i="1"/>
  <c r="E3097" i="1"/>
  <c r="D3097" i="1"/>
  <c r="C3097" i="1"/>
  <c r="B3097" i="1"/>
  <c r="A3097" i="1"/>
  <c r="J3096" i="1"/>
  <c r="I3096" i="1"/>
  <c r="H3096" i="1"/>
  <c r="G3096" i="1"/>
  <c r="F3096" i="1"/>
  <c r="E3096" i="1"/>
  <c r="D3096" i="1"/>
  <c r="C3096" i="1"/>
  <c r="B3096" i="1"/>
  <c r="A3096" i="1"/>
  <c r="J3095" i="1"/>
  <c r="I3095" i="1"/>
  <c r="H3095" i="1"/>
  <c r="G3095" i="1"/>
  <c r="F3095" i="1"/>
  <c r="E3095" i="1"/>
  <c r="D3095" i="1"/>
  <c r="C3095" i="1"/>
  <c r="B3095" i="1"/>
  <c r="A3095" i="1"/>
  <c r="J3094" i="1"/>
  <c r="I3094" i="1"/>
  <c r="H3094" i="1"/>
  <c r="G3094" i="1"/>
  <c r="F3094" i="1"/>
  <c r="E3094" i="1"/>
  <c r="D3094" i="1"/>
  <c r="C3094" i="1"/>
  <c r="B3094" i="1"/>
  <c r="A3094" i="1"/>
  <c r="J3093" i="1"/>
  <c r="I3093" i="1"/>
  <c r="H3093" i="1"/>
  <c r="G3093" i="1"/>
  <c r="F3093" i="1"/>
  <c r="E3093" i="1"/>
  <c r="D3093" i="1"/>
  <c r="C3093" i="1"/>
  <c r="B3093" i="1"/>
  <c r="A3093" i="1"/>
  <c r="J3092" i="1"/>
  <c r="I3092" i="1"/>
  <c r="H3092" i="1"/>
  <c r="G3092" i="1"/>
  <c r="F3092" i="1"/>
  <c r="E3092" i="1"/>
  <c r="D3092" i="1"/>
  <c r="C3092" i="1"/>
  <c r="B3092" i="1"/>
  <c r="A3092" i="1"/>
  <c r="J3091" i="1"/>
  <c r="I3091" i="1"/>
  <c r="H3091" i="1"/>
  <c r="G3091" i="1"/>
  <c r="F3091" i="1"/>
  <c r="E3091" i="1"/>
  <c r="D3091" i="1"/>
  <c r="C3091" i="1"/>
  <c r="B3091" i="1"/>
  <c r="A3091" i="1"/>
  <c r="J3090" i="1"/>
  <c r="I3090" i="1"/>
  <c r="H3090" i="1"/>
  <c r="G3090" i="1"/>
  <c r="F3090" i="1"/>
  <c r="E3090" i="1"/>
  <c r="D3090" i="1"/>
  <c r="C3090" i="1"/>
  <c r="B3090" i="1"/>
  <c r="A3090" i="1"/>
  <c r="J3089" i="1"/>
  <c r="I3089" i="1"/>
  <c r="H3089" i="1"/>
  <c r="G3089" i="1"/>
  <c r="F3089" i="1"/>
  <c r="E3089" i="1"/>
  <c r="D3089" i="1"/>
  <c r="C3089" i="1"/>
  <c r="B3089" i="1"/>
  <c r="A3089" i="1"/>
  <c r="J3088" i="1"/>
  <c r="I3088" i="1"/>
  <c r="H3088" i="1"/>
  <c r="G3088" i="1"/>
  <c r="F3088" i="1"/>
  <c r="E3088" i="1"/>
  <c r="D3088" i="1"/>
  <c r="C3088" i="1"/>
  <c r="B3088" i="1"/>
  <c r="A3088" i="1"/>
  <c r="J3087" i="1"/>
  <c r="I3087" i="1"/>
  <c r="H3087" i="1"/>
  <c r="G3087" i="1"/>
  <c r="F3087" i="1"/>
  <c r="E3087" i="1"/>
  <c r="D3087" i="1"/>
  <c r="C3087" i="1"/>
  <c r="B3087" i="1"/>
  <c r="A3087" i="1"/>
  <c r="J3086" i="1"/>
  <c r="I3086" i="1"/>
  <c r="H3086" i="1"/>
  <c r="G3086" i="1"/>
  <c r="F3086" i="1"/>
  <c r="E3086" i="1"/>
  <c r="D3086" i="1"/>
  <c r="C3086" i="1"/>
  <c r="B3086" i="1"/>
  <c r="A3086" i="1"/>
  <c r="J3085" i="1"/>
  <c r="I3085" i="1"/>
  <c r="H3085" i="1"/>
  <c r="G3085" i="1"/>
  <c r="F3085" i="1"/>
  <c r="E3085" i="1"/>
  <c r="D3085" i="1"/>
  <c r="C3085" i="1"/>
  <c r="B3085" i="1"/>
  <c r="A3085" i="1"/>
  <c r="J3084" i="1"/>
  <c r="I3084" i="1"/>
  <c r="H3084" i="1"/>
  <c r="G3084" i="1"/>
  <c r="F3084" i="1"/>
  <c r="E3084" i="1"/>
  <c r="D3084" i="1"/>
  <c r="C3084" i="1"/>
  <c r="B3084" i="1"/>
  <c r="A3084" i="1"/>
  <c r="J3083" i="1"/>
  <c r="I3083" i="1"/>
  <c r="H3083" i="1"/>
  <c r="G3083" i="1"/>
  <c r="F3083" i="1"/>
  <c r="E3083" i="1"/>
  <c r="D3083" i="1"/>
  <c r="C3083" i="1"/>
  <c r="B3083" i="1"/>
  <c r="A3083" i="1"/>
  <c r="J3082" i="1"/>
  <c r="I3082" i="1"/>
  <c r="H3082" i="1"/>
  <c r="G3082" i="1"/>
  <c r="F3082" i="1"/>
  <c r="E3082" i="1"/>
  <c r="D3082" i="1"/>
  <c r="C3082" i="1"/>
  <c r="B3082" i="1"/>
  <c r="A3082" i="1"/>
  <c r="J3081" i="1"/>
  <c r="I3081" i="1"/>
  <c r="H3081" i="1"/>
  <c r="G3081" i="1"/>
  <c r="F3081" i="1"/>
  <c r="E3081" i="1"/>
  <c r="D3081" i="1"/>
  <c r="C3081" i="1"/>
  <c r="B3081" i="1"/>
  <c r="A3081" i="1"/>
  <c r="J3080" i="1"/>
  <c r="I3080" i="1"/>
  <c r="H3080" i="1"/>
  <c r="G3080" i="1"/>
  <c r="F3080" i="1"/>
  <c r="E3080" i="1"/>
  <c r="D3080" i="1"/>
  <c r="C3080" i="1"/>
  <c r="B3080" i="1"/>
  <c r="A3080" i="1"/>
  <c r="J3079" i="1"/>
  <c r="I3079" i="1"/>
  <c r="H3079" i="1"/>
  <c r="G3079" i="1"/>
  <c r="F3079" i="1"/>
  <c r="E3079" i="1"/>
  <c r="D3079" i="1"/>
  <c r="C3079" i="1"/>
  <c r="B3079" i="1"/>
  <c r="A3079" i="1"/>
  <c r="J3078" i="1"/>
  <c r="I3078" i="1"/>
  <c r="H3078" i="1"/>
  <c r="G3078" i="1"/>
  <c r="F3078" i="1"/>
  <c r="E3078" i="1"/>
  <c r="C3078" i="1"/>
  <c r="B3078" i="1"/>
  <c r="A3078" i="1"/>
  <c r="J3077" i="1"/>
  <c r="I3077" i="1"/>
  <c r="H3077" i="1"/>
  <c r="G3077" i="1"/>
  <c r="F3077" i="1"/>
  <c r="E3077" i="1"/>
  <c r="D3077" i="1"/>
  <c r="C3077" i="1"/>
  <c r="B3077" i="1"/>
  <c r="A3077" i="1"/>
  <c r="J3076" i="1"/>
  <c r="I3076" i="1"/>
  <c r="H3076" i="1"/>
  <c r="G3076" i="1"/>
  <c r="F3076" i="1"/>
  <c r="E3076" i="1"/>
  <c r="D3076" i="1"/>
  <c r="C3076" i="1"/>
  <c r="B3076" i="1"/>
  <c r="A3076" i="1"/>
  <c r="J3075" i="1"/>
  <c r="I3075" i="1"/>
  <c r="H3075" i="1"/>
  <c r="G3075" i="1"/>
  <c r="F3075" i="1"/>
  <c r="E3075" i="1"/>
  <c r="D3075" i="1"/>
  <c r="C3075" i="1"/>
  <c r="B3075" i="1"/>
  <c r="A3075" i="1"/>
  <c r="J3074" i="1"/>
  <c r="I3074" i="1"/>
  <c r="H3074" i="1"/>
  <c r="G3074" i="1"/>
  <c r="F3074" i="1"/>
  <c r="E3074" i="1"/>
  <c r="D3074" i="1"/>
  <c r="C3074" i="1"/>
  <c r="B3074" i="1"/>
  <c r="A3074" i="1"/>
  <c r="J3073" i="1"/>
  <c r="I3073" i="1"/>
  <c r="H3073" i="1"/>
  <c r="G3073" i="1"/>
  <c r="F3073" i="1"/>
  <c r="E3073" i="1"/>
  <c r="D3073" i="1"/>
  <c r="C3073" i="1"/>
  <c r="B3073" i="1"/>
  <c r="A3073" i="1"/>
  <c r="J3072" i="1"/>
  <c r="I3072" i="1"/>
  <c r="H3072" i="1"/>
  <c r="G3072" i="1"/>
  <c r="F3072" i="1"/>
  <c r="E3072" i="1"/>
  <c r="D3072" i="1"/>
  <c r="C3072" i="1"/>
  <c r="B3072" i="1"/>
  <c r="A3072" i="1"/>
  <c r="J3071" i="1"/>
  <c r="I3071" i="1"/>
  <c r="H3071" i="1"/>
  <c r="G3071" i="1"/>
  <c r="F3071" i="1"/>
  <c r="E3071" i="1"/>
  <c r="D3071" i="1"/>
  <c r="C3071" i="1"/>
  <c r="B3071" i="1"/>
  <c r="A3071" i="1"/>
  <c r="J3070" i="1"/>
  <c r="I3070" i="1"/>
  <c r="H3070" i="1"/>
  <c r="G3070" i="1"/>
  <c r="F3070" i="1"/>
  <c r="E3070" i="1"/>
  <c r="D3070" i="1"/>
  <c r="C3070" i="1"/>
  <c r="B3070" i="1"/>
  <c r="A3070" i="1"/>
  <c r="J3069" i="1"/>
  <c r="I3069" i="1"/>
  <c r="H3069" i="1"/>
  <c r="G3069" i="1"/>
  <c r="F3069" i="1"/>
  <c r="E3069" i="1"/>
  <c r="D3069" i="1"/>
  <c r="C3069" i="1"/>
  <c r="B3069" i="1"/>
  <c r="A3069" i="1"/>
  <c r="J3068" i="1"/>
  <c r="I3068" i="1"/>
  <c r="H3068" i="1"/>
  <c r="G3068" i="1"/>
  <c r="F3068" i="1"/>
  <c r="E3068" i="1"/>
  <c r="D3068" i="1"/>
  <c r="C3068" i="1"/>
  <c r="B3068" i="1"/>
  <c r="A3068" i="1"/>
  <c r="J3067" i="1"/>
  <c r="I3067" i="1"/>
  <c r="H3067" i="1"/>
  <c r="G3067" i="1"/>
  <c r="F3067" i="1"/>
  <c r="E3067" i="1"/>
  <c r="D3067" i="1"/>
  <c r="C3067" i="1"/>
  <c r="B3067" i="1"/>
  <c r="A3067" i="1"/>
  <c r="J3066" i="1"/>
  <c r="I3066" i="1"/>
  <c r="H3066" i="1"/>
  <c r="G3066" i="1"/>
  <c r="F3066" i="1"/>
  <c r="E3066" i="1"/>
  <c r="D3066" i="1"/>
  <c r="C3066" i="1"/>
  <c r="B3066" i="1"/>
  <c r="A3066" i="1"/>
  <c r="J3065" i="1"/>
  <c r="I3065" i="1"/>
  <c r="H3065" i="1"/>
  <c r="G3065" i="1"/>
  <c r="F3065" i="1"/>
  <c r="E3065" i="1"/>
  <c r="D3065" i="1"/>
  <c r="C3065" i="1"/>
  <c r="B3065" i="1"/>
  <c r="A3065" i="1"/>
  <c r="J3064" i="1"/>
  <c r="I3064" i="1"/>
  <c r="H3064" i="1"/>
  <c r="G3064" i="1"/>
  <c r="F3064" i="1"/>
  <c r="E3064" i="1"/>
  <c r="D3064" i="1"/>
  <c r="C3064" i="1"/>
  <c r="B3064" i="1"/>
  <c r="A3064" i="1"/>
  <c r="J3063" i="1"/>
  <c r="I3063" i="1"/>
  <c r="H3063" i="1"/>
  <c r="G3063" i="1"/>
  <c r="F3063" i="1"/>
  <c r="E3063" i="1"/>
  <c r="D3063" i="1"/>
  <c r="C3063" i="1"/>
  <c r="B3063" i="1"/>
  <c r="A3063" i="1"/>
  <c r="J3062" i="1"/>
  <c r="I3062" i="1"/>
  <c r="H3062" i="1"/>
  <c r="G3062" i="1"/>
  <c r="F3062" i="1"/>
  <c r="E3062" i="1"/>
  <c r="D3062" i="1"/>
  <c r="C3062" i="1"/>
  <c r="B3062" i="1"/>
  <c r="A3062" i="1"/>
  <c r="J3061" i="1"/>
  <c r="I3061" i="1"/>
  <c r="H3061" i="1"/>
  <c r="G3061" i="1"/>
  <c r="F3061" i="1"/>
  <c r="E3061" i="1"/>
  <c r="D3061" i="1"/>
  <c r="C3061" i="1"/>
  <c r="B3061" i="1"/>
  <c r="A3061" i="1"/>
  <c r="J3060" i="1"/>
  <c r="I3060" i="1"/>
  <c r="H3060" i="1"/>
  <c r="G3060" i="1"/>
  <c r="F3060" i="1"/>
  <c r="E3060" i="1"/>
  <c r="D3060" i="1"/>
  <c r="C3060" i="1"/>
  <c r="B3060" i="1"/>
  <c r="A3060" i="1"/>
  <c r="J3059" i="1"/>
  <c r="I3059" i="1"/>
  <c r="H3059" i="1"/>
  <c r="G3059" i="1"/>
  <c r="F3059" i="1"/>
  <c r="E3059" i="1"/>
  <c r="D3059" i="1"/>
  <c r="C3059" i="1"/>
  <c r="B3059" i="1"/>
  <c r="A3059" i="1"/>
  <c r="J3058" i="1"/>
  <c r="I3058" i="1"/>
  <c r="H3058" i="1"/>
  <c r="G3058" i="1"/>
  <c r="F3058" i="1"/>
  <c r="E3058" i="1"/>
  <c r="D3058" i="1"/>
  <c r="C3058" i="1"/>
  <c r="B3058" i="1"/>
  <c r="A3058" i="1"/>
  <c r="J3057" i="1"/>
  <c r="I3057" i="1"/>
  <c r="H3057" i="1"/>
  <c r="G3057" i="1"/>
  <c r="F3057" i="1"/>
  <c r="E3057" i="1"/>
  <c r="D3057" i="1"/>
  <c r="C3057" i="1"/>
  <c r="B3057" i="1"/>
  <c r="A3057" i="1"/>
  <c r="J3056" i="1"/>
  <c r="I3056" i="1"/>
  <c r="H3056" i="1"/>
  <c r="G3056" i="1"/>
  <c r="F3056" i="1"/>
  <c r="E3056" i="1"/>
  <c r="D3056" i="1"/>
  <c r="C3056" i="1"/>
  <c r="B3056" i="1"/>
  <c r="A3056" i="1"/>
  <c r="J3055" i="1"/>
  <c r="I3055" i="1"/>
  <c r="H3055" i="1"/>
  <c r="G3055" i="1"/>
  <c r="F3055" i="1"/>
  <c r="E3055" i="1"/>
  <c r="D3055" i="1"/>
  <c r="C3055" i="1"/>
  <c r="B3055" i="1"/>
  <c r="A3055" i="1"/>
  <c r="J3054" i="1"/>
  <c r="I3054" i="1"/>
  <c r="H3054" i="1"/>
  <c r="G3054" i="1"/>
  <c r="F3054" i="1"/>
  <c r="E3054" i="1"/>
  <c r="D3054" i="1"/>
  <c r="C3054" i="1"/>
  <c r="B3054" i="1"/>
  <c r="A3054" i="1"/>
  <c r="J3053" i="1"/>
  <c r="I3053" i="1"/>
  <c r="H3053" i="1"/>
  <c r="G3053" i="1"/>
  <c r="F3053" i="1"/>
  <c r="E3053" i="1"/>
  <c r="D3053" i="1"/>
  <c r="C3053" i="1"/>
  <c r="B3053" i="1"/>
  <c r="A3053" i="1"/>
  <c r="J3052" i="1"/>
  <c r="I3052" i="1"/>
  <c r="H3052" i="1"/>
  <c r="G3052" i="1"/>
  <c r="F3052" i="1"/>
  <c r="E3052" i="1"/>
  <c r="D3052" i="1"/>
  <c r="C3052" i="1"/>
  <c r="B3052" i="1"/>
  <c r="A3052" i="1"/>
  <c r="J3051" i="1"/>
  <c r="I3051" i="1"/>
  <c r="H3051" i="1"/>
  <c r="G3051" i="1"/>
  <c r="F3051" i="1"/>
  <c r="E3051" i="1"/>
  <c r="D3051" i="1"/>
  <c r="C3051" i="1"/>
  <c r="B3051" i="1"/>
  <c r="A3051" i="1"/>
  <c r="J3050" i="1"/>
  <c r="I3050" i="1"/>
  <c r="H3050" i="1"/>
  <c r="G3050" i="1"/>
  <c r="F3050" i="1"/>
  <c r="E3050" i="1"/>
  <c r="D3050" i="1"/>
  <c r="C3050" i="1"/>
  <c r="B3050" i="1"/>
  <c r="A3050" i="1"/>
  <c r="J3049" i="1"/>
  <c r="I3049" i="1"/>
  <c r="H3049" i="1"/>
  <c r="G3049" i="1"/>
  <c r="F3049" i="1"/>
  <c r="E3049" i="1"/>
  <c r="D3049" i="1"/>
  <c r="C3049" i="1"/>
  <c r="B3049" i="1"/>
  <c r="A3049" i="1"/>
  <c r="J3048" i="1"/>
  <c r="I3048" i="1"/>
  <c r="H3048" i="1"/>
  <c r="G3048" i="1"/>
  <c r="F3048" i="1"/>
  <c r="E3048" i="1"/>
  <c r="D3048" i="1"/>
  <c r="C3048" i="1"/>
  <c r="B3048" i="1"/>
  <c r="A3048" i="1"/>
  <c r="J3047" i="1"/>
  <c r="I3047" i="1"/>
  <c r="H3047" i="1"/>
  <c r="G3047" i="1"/>
  <c r="F3047" i="1"/>
  <c r="E3047" i="1"/>
  <c r="D3047" i="1"/>
  <c r="C3047" i="1"/>
  <c r="B3047" i="1"/>
  <c r="A3047" i="1"/>
  <c r="J3046" i="1"/>
  <c r="I3046" i="1"/>
  <c r="H3046" i="1"/>
  <c r="G3046" i="1"/>
  <c r="F3046" i="1"/>
  <c r="E3046" i="1"/>
  <c r="D3046" i="1"/>
  <c r="C3046" i="1"/>
  <c r="B3046" i="1"/>
  <c r="A3046" i="1"/>
  <c r="J3045" i="1"/>
  <c r="I3045" i="1"/>
  <c r="H3045" i="1"/>
  <c r="G3045" i="1"/>
  <c r="F3045" i="1"/>
  <c r="E3045" i="1"/>
  <c r="D3045" i="1"/>
  <c r="C3045" i="1"/>
  <c r="B3045" i="1"/>
  <c r="A3045" i="1"/>
  <c r="J3044" i="1"/>
  <c r="I3044" i="1"/>
  <c r="H3044" i="1"/>
  <c r="G3044" i="1"/>
  <c r="F3044" i="1"/>
  <c r="E3044" i="1"/>
  <c r="D3044" i="1"/>
  <c r="C3044" i="1"/>
  <c r="B3044" i="1"/>
  <c r="A3044" i="1"/>
  <c r="J3043" i="1"/>
  <c r="I3043" i="1"/>
  <c r="H3043" i="1"/>
  <c r="G3043" i="1"/>
  <c r="F3043" i="1"/>
  <c r="E3043" i="1"/>
  <c r="D3043" i="1"/>
  <c r="C3043" i="1"/>
  <c r="B3043" i="1"/>
  <c r="A3043" i="1"/>
  <c r="J3042" i="1"/>
  <c r="I3042" i="1"/>
  <c r="H3042" i="1"/>
  <c r="G3042" i="1"/>
  <c r="F3042" i="1"/>
  <c r="E3042" i="1"/>
  <c r="D3042" i="1"/>
  <c r="C3042" i="1"/>
  <c r="B3042" i="1"/>
  <c r="A3042" i="1"/>
  <c r="J3041" i="1"/>
  <c r="I3041" i="1"/>
  <c r="H3041" i="1"/>
  <c r="G3041" i="1"/>
  <c r="F3041" i="1"/>
  <c r="E3041" i="1"/>
  <c r="D3041" i="1"/>
  <c r="C3041" i="1"/>
  <c r="B3041" i="1"/>
  <c r="A3041" i="1"/>
  <c r="J3040" i="1"/>
  <c r="I3040" i="1"/>
  <c r="H3040" i="1"/>
  <c r="G3040" i="1"/>
  <c r="F3040" i="1"/>
  <c r="E3040" i="1"/>
  <c r="D3040" i="1"/>
  <c r="C3040" i="1"/>
  <c r="B3040" i="1"/>
  <c r="A3040" i="1"/>
  <c r="J3039" i="1"/>
  <c r="I3039" i="1"/>
  <c r="H3039" i="1"/>
  <c r="G3039" i="1"/>
  <c r="F3039" i="1"/>
  <c r="E3039" i="1"/>
  <c r="D3039" i="1"/>
  <c r="C3039" i="1"/>
  <c r="B3039" i="1"/>
  <c r="A3039" i="1"/>
  <c r="J3038" i="1"/>
  <c r="I3038" i="1"/>
  <c r="H3038" i="1"/>
  <c r="G3038" i="1"/>
  <c r="F3038" i="1"/>
  <c r="E3038" i="1"/>
  <c r="D3038" i="1"/>
  <c r="C3038" i="1"/>
  <c r="B3038" i="1"/>
  <c r="A3038" i="1"/>
  <c r="J3037" i="1"/>
  <c r="I3037" i="1"/>
  <c r="H3037" i="1"/>
  <c r="G3037" i="1"/>
  <c r="F3037" i="1"/>
  <c r="E3037" i="1"/>
  <c r="D3037" i="1"/>
  <c r="C3037" i="1"/>
  <c r="B3037" i="1"/>
  <c r="A3037" i="1"/>
  <c r="J3036" i="1"/>
  <c r="I3036" i="1"/>
  <c r="H3036" i="1"/>
  <c r="G3036" i="1"/>
  <c r="F3036" i="1"/>
  <c r="E3036" i="1"/>
  <c r="C3036" i="1"/>
  <c r="B3036" i="1"/>
  <c r="A3036" i="1"/>
  <c r="J3035" i="1"/>
  <c r="I3035" i="1"/>
  <c r="H3035" i="1"/>
  <c r="G3035" i="1"/>
  <c r="F3035" i="1"/>
  <c r="E3035" i="1"/>
  <c r="D3035" i="1"/>
  <c r="C3035" i="1"/>
  <c r="B3035" i="1"/>
  <c r="A3035" i="1"/>
  <c r="J3034" i="1"/>
  <c r="I3034" i="1"/>
  <c r="H3034" i="1"/>
  <c r="G3034" i="1"/>
  <c r="F3034" i="1"/>
  <c r="E3034" i="1"/>
  <c r="D3034" i="1"/>
  <c r="C3034" i="1"/>
  <c r="B3034" i="1"/>
  <c r="A3034" i="1"/>
  <c r="J3033" i="1"/>
  <c r="I3033" i="1"/>
  <c r="H3033" i="1"/>
  <c r="G3033" i="1"/>
  <c r="F3033" i="1"/>
  <c r="E3033" i="1"/>
  <c r="D3033" i="1"/>
  <c r="C3033" i="1"/>
  <c r="B3033" i="1"/>
  <c r="A3033" i="1"/>
  <c r="J3032" i="1"/>
  <c r="I3032" i="1"/>
  <c r="H3032" i="1"/>
  <c r="G3032" i="1"/>
  <c r="F3032" i="1"/>
  <c r="E3032" i="1"/>
  <c r="D3032" i="1"/>
  <c r="C3032" i="1"/>
  <c r="B3032" i="1"/>
  <c r="A3032" i="1"/>
  <c r="J3031" i="1"/>
  <c r="I3031" i="1"/>
  <c r="H3031" i="1"/>
  <c r="G3031" i="1"/>
  <c r="F3031" i="1"/>
  <c r="E3031" i="1"/>
  <c r="D3031" i="1"/>
  <c r="C3031" i="1"/>
  <c r="B3031" i="1"/>
  <c r="A3031" i="1"/>
  <c r="J3030" i="1"/>
  <c r="I3030" i="1"/>
  <c r="H3030" i="1"/>
  <c r="G3030" i="1"/>
  <c r="F3030" i="1"/>
  <c r="E3030" i="1"/>
  <c r="D3030" i="1"/>
  <c r="C3030" i="1"/>
  <c r="B3030" i="1"/>
  <c r="A3030" i="1"/>
  <c r="J3029" i="1"/>
  <c r="I3029" i="1"/>
  <c r="H3029" i="1"/>
  <c r="G3029" i="1"/>
  <c r="F3029" i="1"/>
  <c r="E3029" i="1"/>
  <c r="D3029" i="1"/>
  <c r="C3029" i="1"/>
  <c r="B3029" i="1"/>
  <c r="A3029" i="1"/>
  <c r="J3028" i="1"/>
  <c r="I3028" i="1"/>
  <c r="H3028" i="1"/>
  <c r="G3028" i="1"/>
  <c r="F3028" i="1"/>
  <c r="E3028" i="1"/>
  <c r="D3028" i="1"/>
  <c r="C3028" i="1"/>
  <c r="B3028" i="1"/>
  <c r="A3028" i="1"/>
  <c r="J3027" i="1"/>
  <c r="I3027" i="1"/>
  <c r="H3027" i="1"/>
  <c r="G3027" i="1"/>
  <c r="F3027" i="1"/>
  <c r="E3027" i="1"/>
  <c r="D3027" i="1"/>
  <c r="C3027" i="1"/>
  <c r="B3027" i="1"/>
  <c r="A3027" i="1"/>
  <c r="J3026" i="1"/>
  <c r="I3026" i="1"/>
  <c r="H3026" i="1"/>
  <c r="G3026" i="1"/>
  <c r="F3026" i="1"/>
  <c r="E3026" i="1"/>
  <c r="D3026" i="1"/>
  <c r="C3026" i="1"/>
  <c r="B3026" i="1"/>
  <c r="A3026" i="1"/>
  <c r="J3025" i="1"/>
  <c r="I3025" i="1"/>
  <c r="H3025" i="1"/>
  <c r="G3025" i="1"/>
  <c r="F3025" i="1"/>
  <c r="E3025" i="1"/>
  <c r="D3025" i="1"/>
  <c r="C3025" i="1"/>
  <c r="B3025" i="1"/>
  <c r="A3025" i="1"/>
  <c r="J3024" i="1"/>
  <c r="I3024" i="1"/>
  <c r="H3024" i="1"/>
  <c r="G3024" i="1"/>
  <c r="F3024" i="1"/>
  <c r="E3024" i="1"/>
  <c r="D3024" i="1"/>
  <c r="C3024" i="1"/>
  <c r="B3024" i="1"/>
  <c r="A3024" i="1"/>
  <c r="J3023" i="1"/>
  <c r="I3023" i="1"/>
  <c r="H3023" i="1"/>
  <c r="G3023" i="1"/>
  <c r="F3023" i="1"/>
  <c r="E3023" i="1"/>
  <c r="D3023" i="1"/>
  <c r="C3023" i="1"/>
  <c r="B3023" i="1"/>
  <c r="A3023" i="1"/>
  <c r="J3022" i="1"/>
  <c r="I3022" i="1"/>
  <c r="H3022" i="1"/>
  <c r="G3022" i="1"/>
  <c r="F3022" i="1"/>
  <c r="E3022" i="1"/>
  <c r="D3022" i="1"/>
  <c r="C3022" i="1"/>
  <c r="B3022" i="1"/>
  <c r="A3022" i="1"/>
  <c r="J3021" i="1"/>
  <c r="I3021" i="1"/>
  <c r="H3021" i="1"/>
  <c r="G3021" i="1"/>
  <c r="F3021" i="1"/>
  <c r="E3021" i="1"/>
  <c r="D3021" i="1"/>
  <c r="C3021" i="1"/>
  <c r="B3021" i="1"/>
  <c r="A3021" i="1"/>
  <c r="J3020" i="1"/>
  <c r="I3020" i="1"/>
  <c r="H3020" i="1"/>
  <c r="G3020" i="1"/>
  <c r="F3020" i="1"/>
  <c r="E3020" i="1"/>
  <c r="D3020" i="1"/>
  <c r="C3020" i="1"/>
  <c r="B3020" i="1"/>
  <c r="A3020" i="1"/>
  <c r="J3019" i="1"/>
  <c r="I3019" i="1"/>
  <c r="H3019" i="1"/>
  <c r="G3019" i="1"/>
  <c r="F3019" i="1"/>
  <c r="E3019" i="1"/>
  <c r="D3019" i="1"/>
  <c r="C3019" i="1"/>
  <c r="B3019" i="1"/>
  <c r="A3019" i="1"/>
  <c r="J3018" i="1"/>
  <c r="I3018" i="1"/>
  <c r="H3018" i="1"/>
  <c r="G3018" i="1"/>
  <c r="F3018" i="1"/>
  <c r="E3018" i="1"/>
  <c r="D3018" i="1"/>
  <c r="C3018" i="1"/>
  <c r="B3018" i="1"/>
  <c r="A3018" i="1"/>
  <c r="J3017" i="1"/>
  <c r="I3017" i="1"/>
  <c r="H3017" i="1"/>
  <c r="G3017" i="1"/>
  <c r="F3017" i="1"/>
  <c r="E3017" i="1"/>
  <c r="D3017" i="1"/>
  <c r="C3017" i="1"/>
  <c r="B3017" i="1"/>
  <c r="A3017" i="1"/>
  <c r="J3016" i="1"/>
  <c r="I3016" i="1"/>
  <c r="H3016" i="1"/>
  <c r="G3016" i="1"/>
  <c r="F3016" i="1"/>
  <c r="E3016" i="1"/>
  <c r="D3016" i="1"/>
  <c r="C3016" i="1"/>
  <c r="B3016" i="1"/>
  <c r="A3016" i="1"/>
  <c r="J3015" i="1"/>
  <c r="I3015" i="1"/>
  <c r="H3015" i="1"/>
  <c r="G3015" i="1"/>
  <c r="F3015" i="1"/>
  <c r="E3015" i="1"/>
  <c r="D3015" i="1"/>
  <c r="C3015" i="1"/>
  <c r="B3015" i="1"/>
  <c r="A3015" i="1"/>
  <c r="J3014" i="1"/>
  <c r="I3014" i="1"/>
  <c r="H3014" i="1"/>
  <c r="G3014" i="1"/>
  <c r="F3014" i="1"/>
  <c r="E3014" i="1"/>
  <c r="D3014" i="1"/>
  <c r="C3014" i="1"/>
  <c r="B3014" i="1"/>
  <c r="A3014" i="1"/>
  <c r="J3013" i="1"/>
  <c r="I3013" i="1"/>
  <c r="H3013" i="1"/>
  <c r="G3013" i="1"/>
  <c r="F3013" i="1"/>
  <c r="E3013" i="1"/>
  <c r="D3013" i="1"/>
  <c r="C3013" i="1"/>
  <c r="B3013" i="1"/>
  <c r="A3013" i="1"/>
  <c r="J3012" i="1"/>
  <c r="I3012" i="1"/>
  <c r="H3012" i="1"/>
  <c r="G3012" i="1"/>
  <c r="F3012" i="1"/>
  <c r="E3012" i="1"/>
  <c r="D3012" i="1"/>
  <c r="C3012" i="1"/>
  <c r="B3012" i="1"/>
  <c r="A3012" i="1"/>
  <c r="J3011" i="1"/>
  <c r="I3011" i="1"/>
  <c r="H3011" i="1"/>
  <c r="G3011" i="1"/>
  <c r="F3011" i="1"/>
  <c r="E3011" i="1"/>
  <c r="D3011" i="1"/>
  <c r="C3011" i="1"/>
  <c r="B3011" i="1"/>
  <c r="A3011" i="1"/>
  <c r="J3010" i="1"/>
  <c r="I3010" i="1"/>
  <c r="H3010" i="1"/>
  <c r="G3010" i="1"/>
  <c r="F3010" i="1"/>
  <c r="E3010" i="1"/>
  <c r="D3010" i="1"/>
  <c r="C3010" i="1"/>
  <c r="B3010" i="1"/>
  <c r="A3010" i="1"/>
  <c r="J3009" i="1"/>
  <c r="I3009" i="1"/>
  <c r="H3009" i="1"/>
  <c r="G3009" i="1"/>
  <c r="F3009" i="1"/>
  <c r="E3009" i="1"/>
  <c r="D3009" i="1"/>
  <c r="C3009" i="1"/>
  <c r="B3009" i="1"/>
  <c r="A3009" i="1"/>
  <c r="J3008" i="1"/>
  <c r="I3008" i="1"/>
  <c r="H3008" i="1"/>
  <c r="G3008" i="1"/>
  <c r="F3008" i="1"/>
  <c r="E3008" i="1"/>
  <c r="D3008" i="1"/>
  <c r="C3008" i="1"/>
  <c r="B3008" i="1"/>
  <c r="A3008" i="1"/>
  <c r="J3007" i="1"/>
  <c r="I3007" i="1"/>
  <c r="H3007" i="1"/>
  <c r="G3007" i="1"/>
  <c r="F3007" i="1"/>
  <c r="E3007" i="1"/>
  <c r="D3007" i="1"/>
  <c r="C3007" i="1"/>
  <c r="B3007" i="1"/>
  <c r="A3007" i="1"/>
  <c r="J3006" i="1"/>
  <c r="I3006" i="1"/>
  <c r="H3006" i="1"/>
  <c r="G3006" i="1"/>
  <c r="F3006" i="1"/>
  <c r="E3006" i="1"/>
  <c r="D3006" i="1"/>
  <c r="C3006" i="1"/>
  <c r="B3006" i="1"/>
  <c r="A3006" i="1"/>
  <c r="J3005" i="1"/>
  <c r="I3005" i="1"/>
  <c r="H3005" i="1"/>
  <c r="G3005" i="1"/>
  <c r="F3005" i="1"/>
  <c r="E3005" i="1"/>
  <c r="D3005" i="1"/>
  <c r="C3005" i="1"/>
  <c r="B3005" i="1"/>
  <c r="A3005" i="1"/>
  <c r="J3004" i="1"/>
  <c r="I3004" i="1"/>
  <c r="H3004" i="1"/>
  <c r="G3004" i="1"/>
  <c r="F3004" i="1"/>
  <c r="E3004" i="1"/>
  <c r="D3004" i="1"/>
  <c r="C3004" i="1"/>
  <c r="B3004" i="1"/>
  <c r="A3004" i="1"/>
  <c r="J3003" i="1"/>
  <c r="I3003" i="1"/>
  <c r="H3003" i="1"/>
  <c r="G3003" i="1"/>
  <c r="F3003" i="1"/>
  <c r="E3003" i="1"/>
  <c r="D3003" i="1"/>
  <c r="C3003" i="1"/>
  <c r="B3003" i="1"/>
  <c r="A3003" i="1"/>
  <c r="J3002" i="1"/>
  <c r="I3002" i="1"/>
  <c r="H3002" i="1"/>
  <c r="G3002" i="1"/>
  <c r="F3002" i="1"/>
  <c r="E3002" i="1"/>
  <c r="D3002" i="1"/>
  <c r="C3002" i="1"/>
  <c r="B3002" i="1"/>
  <c r="A3002" i="1"/>
  <c r="J3001" i="1"/>
  <c r="I3001" i="1"/>
  <c r="H3001" i="1"/>
  <c r="G3001" i="1"/>
  <c r="F3001" i="1"/>
  <c r="E3001" i="1"/>
  <c r="D3001" i="1"/>
  <c r="C3001" i="1"/>
  <c r="B3001" i="1"/>
  <c r="A3001" i="1"/>
  <c r="J3000" i="1"/>
  <c r="I3000" i="1"/>
  <c r="H3000" i="1"/>
  <c r="G3000" i="1"/>
  <c r="F3000" i="1"/>
  <c r="E3000" i="1"/>
  <c r="D3000" i="1"/>
  <c r="C3000" i="1"/>
  <c r="B3000" i="1"/>
  <c r="A3000" i="1"/>
  <c r="J2999" i="1"/>
  <c r="I2999" i="1"/>
  <c r="H2999" i="1"/>
  <c r="G2999" i="1"/>
  <c r="F2999" i="1"/>
  <c r="E2999" i="1"/>
  <c r="D2999" i="1"/>
  <c r="C2999" i="1"/>
  <c r="B2999" i="1"/>
  <c r="A2999" i="1"/>
  <c r="J2998" i="1"/>
  <c r="I2998" i="1"/>
  <c r="H2998" i="1"/>
  <c r="G2998" i="1"/>
  <c r="F2998" i="1"/>
  <c r="E2998" i="1"/>
  <c r="D2998" i="1"/>
  <c r="C2998" i="1"/>
  <c r="B2998" i="1"/>
  <c r="A2998" i="1"/>
  <c r="J2997" i="1"/>
  <c r="I2997" i="1"/>
  <c r="H2997" i="1"/>
  <c r="G2997" i="1"/>
  <c r="F2997" i="1"/>
  <c r="E2997" i="1"/>
  <c r="D2997" i="1"/>
  <c r="C2997" i="1"/>
  <c r="B2997" i="1"/>
  <c r="A2997" i="1"/>
  <c r="J2996" i="1"/>
  <c r="I2996" i="1"/>
  <c r="H2996" i="1"/>
  <c r="G2996" i="1"/>
  <c r="F2996" i="1"/>
  <c r="E2996" i="1"/>
  <c r="D2996" i="1"/>
  <c r="C2996" i="1"/>
  <c r="B2996" i="1"/>
  <c r="A2996" i="1"/>
  <c r="J2995" i="1"/>
  <c r="I2995" i="1"/>
  <c r="H2995" i="1"/>
  <c r="G2995" i="1"/>
  <c r="F2995" i="1"/>
  <c r="E2995" i="1"/>
  <c r="D2995" i="1"/>
  <c r="C2995" i="1"/>
  <c r="B2995" i="1"/>
  <c r="A2995" i="1"/>
  <c r="J2994" i="1"/>
  <c r="I2994" i="1"/>
  <c r="H2994" i="1"/>
  <c r="G2994" i="1"/>
  <c r="F2994" i="1"/>
  <c r="E2994" i="1"/>
  <c r="D2994" i="1"/>
  <c r="C2994" i="1"/>
  <c r="B2994" i="1"/>
  <c r="A2994" i="1"/>
  <c r="J2993" i="1"/>
  <c r="I2993" i="1"/>
  <c r="H2993" i="1"/>
  <c r="G2993" i="1"/>
  <c r="F2993" i="1"/>
  <c r="E2993" i="1"/>
  <c r="D2993" i="1"/>
  <c r="C2993" i="1"/>
  <c r="B2993" i="1"/>
  <c r="A2993" i="1"/>
  <c r="J2992" i="1"/>
  <c r="I2992" i="1"/>
  <c r="H2992" i="1"/>
  <c r="G2992" i="1"/>
  <c r="F2992" i="1"/>
  <c r="E2992" i="1"/>
  <c r="D2992" i="1"/>
  <c r="C2992" i="1"/>
  <c r="B2992" i="1"/>
  <c r="A2992" i="1"/>
  <c r="J2991" i="1"/>
  <c r="I2991" i="1"/>
  <c r="H2991" i="1"/>
  <c r="G2991" i="1"/>
  <c r="F2991" i="1"/>
  <c r="E2991" i="1"/>
  <c r="D2991" i="1"/>
  <c r="C2991" i="1"/>
  <c r="B2991" i="1"/>
  <c r="A2991" i="1"/>
  <c r="J2990" i="1"/>
  <c r="I2990" i="1"/>
  <c r="H2990" i="1"/>
  <c r="G2990" i="1"/>
  <c r="F2990" i="1"/>
  <c r="E2990" i="1"/>
  <c r="D2990" i="1"/>
  <c r="C2990" i="1"/>
  <c r="B2990" i="1"/>
  <c r="A2990" i="1"/>
  <c r="J2989" i="1"/>
  <c r="I2989" i="1"/>
  <c r="H2989" i="1"/>
  <c r="G2989" i="1"/>
  <c r="F2989" i="1"/>
  <c r="E2989" i="1"/>
  <c r="D2989" i="1"/>
  <c r="C2989" i="1"/>
  <c r="B2989" i="1"/>
  <c r="A2989" i="1"/>
  <c r="J2988" i="1"/>
  <c r="I2988" i="1"/>
  <c r="H2988" i="1"/>
  <c r="G2988" i="1"/>
  <c r="F2988" i="1"/>
  <c r="E2988" i="1"/>
  <c r="D2988" i="1"/>
  <c r="C2988" i="1"/>
  <c r="B2988" i="1"/>
  <c r="A2988" i="1"/>
  <c r="J2987" i="1"/>
  <c r="I2987" i="1"/>
  <c r="H2987" i="1"/>
  <c r="G2987" i="1"/>
  <c r="F2987" i="1"/>
  <c r="E2987" i="1"/>
  <c r="D2987" i="1"/>
  <c r="C2987" i="1"/>
  <c r="B2987" i="1"/>
  <c r="A2987" i="1"/>
  <c r="J2986" i="1"/>
  <c r="I2986" i="1"/>
  <c r="H2986" i="1"/>
  <c r="G2986" i="1"/>
  <c r="F2986" i="1"/>
  <c r="E2986" i="1"/>
  <c r="D2986" i="1"/>
  <c r="C2986" i="1"/>
  <c r="B2986" i="1"/>
  <c r="A2986" i="1"/>
  <c r="J2985" i="1"/>
  <c r="I2985" i="1"/>
  <c r="H2985" i="1"/>
  <c r="G2985" i="1"/>
  <c r="F2985" i="1"/>
  <c r="E2985" i="1"/>
  <c r="D2985" i="1"/>
  <c r="C2985" i="1"/>
  <c r="B2985" i="1"/>
  <c r="A2985" i="1"/>
  <c r="J2984" i="1"/>
  <c r="I2984" i="1"/>
  <c r="H2984" i="1"/>
  <c r="G2984" i="1"/>
  <c r="F2984" i="1"/>
  <c r="E2984" i="1"/>
  <c r="D2984" i="1"/>
  <c r="C2984" i="1"/>
  <c r="B2984" i="1"/>
  <c r="A2984" i="1"/>
  <c r="J2983" i="1"/>
  <c r="I2983" i="1"/>
  <c r="H2983" i="1"/>
  <c r="G2983" i="1"/>
  <c r="F2983" i="1"/>
  <c r="E2983" i="1"/>
  <c r="D2983" i="1"/>
  <c r="C2983" i="1"/>
  <c r="B2983" i="1"/>
  <c r="A2983" i="1"/>
  <c r="J2982" i="1"/>
  <c r="I2982" i="1"/>
  <c r="H2982" i="1"/>
  <c r="G2982" i="1"/>
  <c r="F2982" i="1"/>
  <c r="E2982" i="1"/>
  <c r="D2982" i="1"/>
  <c r="C2982" i="1"/>
  <c r="B2982" i="1"/>
  <c r="A2982" i="1"/>
  <c r="J2981" i="1"/>
  <c r="I2981" i="1"/>
  <c r="H2981" i="1"/>
  <c r="G2981" i="1"/>
  <c r="F2981" i="1"/>
  <c r="E2981" i="1"/>
  <c r="D2981" i="1"/>
  <c r="C2981" i="1"/>
  <c r="B2981" i="1"/>
  <c r="A2981" i="1"/>
  <c r="J2980" i="1"/>
  <c r="I2980" i="1"/>
  <c r="H2980" i="1"/>
  <c r="G2980" i="1"/>
  <c r="F2980" i="1"/>
  <c r="E2980" i="1"/>
  <c r="D2980" i="1"/>
  <c r="C2980" i="1"/>
  <c r="B2980" i="1"/>
  <c r="A2980" i="1"/>
  <c r="J2979" i="1"/>
  <c r="I2979" i="1"/>
  <c r="H2979" i="1"/>
  <c r="G2979" i="1"/>
  <c r="F2979" i="1"/>
  <c r="E2979" i="1"/>
  <c r="D2979" i="1"/>
  <c r="C2979" i="1"/>
  <c r="B2979" i="1"/>
  <c r="A2979" i="1"/>
  <c r="J2978" i="1"/>
  <c r="I2978" i="1"/>
  <c r="H2978" i="1"/>
  <c r="G2978" i="1"/>
  <c r="F2978" i="1"/>
  <c r="E2978" i="1"/>
  <c r="D2978" i="1"/>
  <c r="C2978" i="1"/>
  <c r="B2978" i="1"/>
  <c r="A2978" i="1"/>
  <c r="J2977" i="1"/>
  <c r="I2977" i="1"/>
  <c r="H2977" i="1"/>
  <c r="G2977" i="1"/>
  <c r="F2977" i="1"/>
  <c r="E2977" i="1"/>
  <c r="D2977" i="1"/>
  <c r="C2977" i="1"/>
  <c r="B2977" i="1"/>
  <c r="A2977" i="1"/>
  <c r="J2976" i="1"/>
  <c r="I2976" i="1"/>
  <c r="H2976" i="1"/>
  <c r="G2976" i="1"/>
  <c r="F2976" i="1"/>
  <c r="E2976" i="1"/>
  <c r="D2976" i="1"/>
  <c r="C2976" i="1"/>
  <c r="B2976" i="1"/>
  <c r="A2976" i="1"/>
  <c r="J2975" i="1"/>
  <c r="I2975" i="1"/>
  <c r="H2975" i="1"/>
  <c r="G2975" i="1"/>
  <c r="F2975" i="1"/>
  <c r="E2975" i="1"/>
  <c r="D2975" i="1"/>
  <c r="C2975" i="1"/>
  <c r="B2975" i="1"/>
  <c r="A2975" i="1"/>
  <c r="J2974" i="1"/>
  <c r="I2974" i="1"/>
  <c r="H2974" i="1"/>
  <c r="G2974" i="1"/>
  <c r="F2974" i="1"/>
  <c r="E2974" i="1"/>
  <c r="D2974" i="1"/>
  <c r="C2974" i="1"/>
  <c r="B2974" i="1"/>
  <c r="A2974" i="1"/>
  <c r="J2973" i="1"/>
  <c r="I2973" i="1"/>
  <c r="H2973" i="1"/>
  <c r="G2973" i="1"/>
  <c r="F2973" i="1"/>
  <c r="E2973" i="1"/>
  <c r="D2973" i="1"/>
  <c r="C2973" i="1"/>
  <c r="B2973" i="1"/>
  <c r="A2973" i="1"/>
  <c r="J2972" i="1"/>
  <c r="I2972" i="1"/>
  <c r="H2972" i="1"/>
  <c r="G2972" i="1"/>
  <c r="F2972" i="1"/>
  <c r="E2972" i="1"/>
  <c r="C2972" i="1"/>
  <c r="B2972" i="1"/>
  <c r="A2972" i="1"/>
  <c r="J2971" i="1"/>
  <c r="I2971" i="1"/>
  <c r="H2971" i="1"/>
  <c r="G2971" i="1"/>
  <c r="F2971" i="1"/>
  <c r="E2971" i="1"/>
  <c r="D2971" i="1"/>
  <c r="C2971" i="1"/>
  <c r="B2971" i="1"/>
  <c r="A2971" i="1"/>
  <c r="J2970" i="1"/>
  <c r="I2970" i="1"/>
  <c r="H2970" i="1"/>
  <c r="G2970" i="1"/>
  <c r="F2970" i="1"/>
  <c r="E2970" i="1"/>
  <c r="C2970" i="1"/>
  <c r="B2970" i="1"/>
  <c r="A2970" i="1"/>
  <c r="J2969" i="1"/>
  <c r="I2969" i="1"/>
  <c r="H2969" i="1"/>
  <c r="G2969" i="1"/>
  <c r="F2969" i="1"/>
  <c r="E2969" i="1"/>
  <c r="D2969" i="1"/>
  <c r="C2969" i="1"/>
  <c r="B2969" i="1"/>
  <c r="A2969" i="1"/>
  <c r="J2968" i="1"/>
  <c r="I2968" i="1"/>
  <c r="H2968" i="1"/>
  <c r="G2968" i="1"/>
  <c r="F2968" i="1"/>
  <c r="E2968" i="1"/>
  <c r="D2968" i="1"/>
  <c r="C2968" i="1"/>
  <c r="B2968" i="1"/>
  <c r="A2968" i="1"/>
  <c r="J2967" i="1"/>
  <c r="I2967" i="1"/>
  <c r="H2967" i="1"/>
  <c r="G2967" i="1"/>
  <c r="F2967" i="1"/>
  <c r="E2967" i="1"/>
  <c r="D2967" i="1"/>
  <c r="C2967" i="1"/>
  <c r="B2967" i="1"/>
  <c r="A2967" i="1"/>
  <c r="J2966" i="1"/>
  <c r="I2966" i="1"/>
  <c r="H2966" i="1"/>
  <c r="G2966" i="1"/>
  <c r="F2966" i="1"/>
  <c r="E2966" i="1"/>
  <c r="D2966" i="1"/>
  <c r="C2966" i="1"/>
  <c r="B2966" i="1"/>
  <c r="A2966" i="1"/>
  <c r="J2965" i="1"/>
  <c r="I2965" i="1"/>
  <c r="H2965" i="1"/>
  <c r="G2965" i="1"/>
  <c r="F2965" i="1"/>
  <c r="E2965" i="1"/>
  <c r="D2965" i="1"/>
  <c r="C2965" i="1"/>
  <c r="B2965" i="1"/>
  <c r="A2965" i="1"/>
  <c r="J2964" i="1"/>
  <c r="I2964" i="1"/>
  <c r="H2964" i="1"/>
  <c r="G2964" i="1"/>
  <c r="F2964" i="1"/>
  <c r="E2964" i="1"/>
  <c r="D2964" i="1"/>
  <c r="C2964" i="1"/>
  <c r="B2964" i="1"/>
  <c r="A2964" i="1"/>
  <c r="J2963" i="1"/>
  <c r="I2963" i="1"/>
  <c r="H2963" i="1"/>
  <c r="G2963" i="1"/>
  <c r="F2963" i="1"/>
  <c r="E2963" i="1"/>
  <c r="D2963" i="1"/>
  <c r="C2963" i="1"/>
  <c r="B2963" i="1"/>
  <c r="A2963" i="1"/>
  <c r="J2962" i="1"/>
  <c r="I2962" i="1"/>
  <c r="H2962" i="1"/>
  <c r="G2962" i="1"/>
  <c r="F2962" i="1"/>
  <c r="E2962" i="1"/>
  <c r="D2962" i="1"/>
  <c r="C2962" i="1"/>
  <c r="B2962" i="1"/>
  <c r="A2962" i="1"/>
  <c r="J2961" i="1"/>
  <c r="I2961" i="1"/>
  <c r="H2961" i="1"/>
  <c r="G2961" i="1"/>
  <c r="F2961" i="1"/>
  <c r="E2961" i="1"/>
  <c r="D2961" i="1"/>
  <c r="C2961" i="1"/>
  <c r="B2961" i="1"/>
  <c r="A2961" i="1"/>
  <c r="J2960" i="1"/>
  <c r="I2960" i="1"/>
  <c r="H2960" i="1"/>
  <c r="G2960" i="1"/>
  <c r="F2960" i="1"/>
  <c r="E2960" i="1"/>
  <c r="D2960" i="1"/>
  <c r="C2960" i="1"/>
  <c r="B2960" i="1"/>
  <c r="A2960" i="1"/>
  <c r="J2959" i="1"/>
  <c r="I2959" i="1"/>
  <c r="H2959" i="1"/>
  <c r="G2959" i="1"/>
  <c r="F2959" i="1"/>
  <c r="E2959" i="1"/>
  <c r="D2959" i="1"/>
  <c r="C2959" i="1"/>
  <c r="B2959" i="1"/>
  <c r="A2959" i="1"/>
  <c r="J2958" i="1"/>
  <c r="I2958" i="1"/>
  <c r="H2958" i="1"/>
  <c r="G2958" i="1"/>
  <c r="F2958" i="1"/>
  <c r="E2958" i="1"/>
  <c r="D2958" i="1"/>
  <c r="C2958" i="1"/>
  <c r="B2958" i="1"/>
  <c r="A2958" i="1"/>
  <c r="J2957" i="1"/>
  <c r="I2957" i="1"/>
  <c r="H2957" i="1"/>
  <c r="G2957" i="1"/>
  <c r="F2957" i="1"/>
  <c r="E2957" i="1"/>
  <c r="D2957" i="1"/>
  <c r="C2957" i="1"/>
  <c r="B2957" i="1"/>
  <c r="A2957" i="1"/>
  <c r="J2956" i="1"/>
  <c r="I2956" i="1"/>
  <c r="H2956" i="1"/>
  <c r="G2956" i="1"/>
  <c r="F2956" i="1"/>
  <c r="E2956" i="1"/>
  <c r="D2956" i="1"/>
  <c r="C2956" i="1"/>
  <c r="B2956" i="1"/>
  <c r="A2956" i="1"/>
  <c r="J2955" i="1"/>
  <c r="I2955" i="1"/>
  <c r="H2955" i="1"/>
  <c r="G2955" i="1"/>
  <c r="F2955" i="1"/>
  <c r="E2955" i="1"/>
  <c r="D2955" i="1"/>
  <c r="C2955" i="1"/>
  <c r="B2955" i="1"/>
  <c r="A2955" i="1"/>
  <c r="J2954" i="1"/>
  <c r="I2954" i="1"/>
  <c r="H2954" i="1"/>
  <c r="G2954" i="1"/>
  <c r="F2954" i="1"/>
  <c r="E2954" i="1"/>
  <c r="D2954" i="1"/>
  <c r="C2954" i="1"/>
  <c r="B2954" i="1"/>
  <c r="A2954" i="1"/>
  <c r="J2953" i="1"/>
  <c r="I2953" i="1"/>
  <c r="H2953" i="1"/>
  <c r="G2953" i="1"/>
  <c r="F2953" i="1"/>
  <c r="E2953" i="1"/>
  <c r="D2953" i="1"/>
  <c r="C2953" i="1"/>
  <c r="B2953" i="1"/>
  <c r="A2953" i="1"/>
  <c r="J2952" i="1"/>
  <c r="I2952" i="1"/>
  <c r="H2952" i="1"/>
  <c r="G2952" i="1"/>
  <c r="F2952" i="1"/>
  <c r="E2952" i="1"/>
  <c r="D2952" i="1"/>
  <c r="C2952" i="1"/>
  <c r="B2952" i="1"/>
  <c r="A2952" i="1"/>
  <c r="J2951" i="1"/>
  <c r="I2951" i="1"/>
  <c r="H2951" i="1"/>
  <c r="G2951" i="1"/>
  <c r="F2951" i="1"/>
  <c r="E2951" i="1"/>
  <c r="D2951" i="1"/>
  <c r="C2951" i="1"/>
  <c r="B2951" i="1"/>
  <c r="A2951" i="1"/>
  <c r="J2950" i="1"/>
  <c r="I2950" i="1"/>
  <c r="H2950" i="1"/>
  <c r="G2950" i="1"/>
  <c r="F2950" i="1"/>
  <c r="E2950" i="1"/>
  <c r="D2950" i="1"/>
  <c r="C2950" i="1"/>
  <c r="B2950" i="1"/>
  <c r="A2950" i="1"/>
  <c r="J2949" i="1"/>
  <c r="I2949" i="1"/>
  <c r="H2949" i="1"/>
  <c r="G2949" i="1"/>
  <c r="F2949" i="1"/>
  <c r="E2949" i="1"/>
  <c r="D2949" i="1"/>
  <c r="C2949" i="1"/>
  <c r="B2949" i="1"/>
  <c r="A2949" i="1"/>
  <c r="J2948" i="1"/>
  <c r="I2948" i="1"/>
  <c r="H2948" i="1"/>
  <c r="G2948" i="1"/>
  <c r="F2948" i="1"/>
  <c r="E2948" i="1"/>
  <c r="D2948" i="1"/>
  <c r="C2948" i="1"/>
  <c r="B2948" i="1"/>
  <c r="A2948" i="1"/>
  <c r="J2947" i="1"/>
  <c r="I2947" i="1"/>
  <c r="H2947" i="1"/>
  <c r="G2947" i="1"/>
  <c r="F2947" i="1"/>
  <c r="E2947" i="1"/>
  <c r="D2947" i="1"/>
  <c r="C2947" i="1"/>
  <c r="B2947" i="1"/>
  <c r="A2947" i="1"/>
  <c r="J2946" i="1"/>
  <c r="I2946" i="1"/>
  <c r="H2946" i="1"/>
  <c r="G2946" i="1"/>
  <c r="F2946" i="1"/>
  <c r="E2946" i="1"/>
  <c r="D2946" i="1"/>
  <c r="C2946" i="1"/>
  <c r="B2946" i="1"/>
  <c r="A2946" i="1"/>
  <c r="J2945" i="1"/>
  <c r="I2945" i="1"/>
  <c r="H2945" i="1"/>
  <c r="G2945" i="1"/>
  <c r="F2945" i="1"/>
  <c r="E2945" i="1"/>
  <c r="D2945" i="1"/>
  <c r="C2945" i="1"/>
  <c r="B2945" i="1"/>
  <c r="A2945" i="1"/>
  <c r="J2944" i="1"/>
  <c r="I2944" i="1"/>
  <c r="H2944" i="1"/>
  <c r="G2944" i="1"/>
  <c r="F2944" i="1"/>
  <c r="E2944" i="1"/>
  <c r="D2944" i="1"/>
  <c r="C2944" i="1"/>
  <c r="B2944" i="1"/>
  <c r="A2944" i="1"/>
  <c r="J2943" i="1"/>
  <c r="I2943" i="1"/>
  <c r="H2943" i="1"/>
  <c r="G2943" i="1"/>
  <c r="F2943" i="1"/>
  <c r="E2943" i="1"/>
  <c r="D2943" i="1"/>
  <c r="C2943" i="1"/>
  <c r="B2943" i="1"/>
  <c r="A2943" i="1"/>
  <c r="J2942" i="1"/>
  <c r="I2942" i="1"/>
  <c r="H2942" i="1"/>
  <c r="G2942" i="1"/>
  <c r="F2942" i="1"/>
  <c r="E2942" i="1"/>
  <c r="D2942" i="1"/>
  <c r="C2942" i="1"/>
  <c r="B2942" i="1"/>
  <c r="A2942" i="1"/>
  <c r="J2941" i="1"/>
  <c r="I2941" i="1"/>
  <c r="H2941" i="1"/>
  <c r="G2941" i="1"/>
  <c r="F2941" i="1"/>
  <c r="E2941" i="1"/>
  <c r="D2941" i="1"/>
  <c r="C2941" i="1"/>
  <c r="B2941" i="1"/>
  <c r="A2941" i="1"/>
  <c r="J2940" i="1"/>
  <c r="I2940" i="1"/>
  <c r="H2940" i="1"/>
  <c r="G2940" i="1"/>
  <c r="F2940" i="1"/>
  <c r="E2940" i="1"/>
  <c r="D2940" i="1"/>
  <c r="C2940" i="1"/>
  <c r="B2940" i="1"/>
  <c r="A2940" i="1"/>
  <c r="J2939" i="1"/>
  <c r="I2939" i="1"/>
  <c r="H2939" i="1"/>
  <c r="G2939" i="1"/>
  <c r="F2939" i="1"/>
  <c r="E2939" i="1"/>
  <c r="D2939" i="1"/>
  <c r="C2939" i="1"/>
  <c r="B2939" i="1"/>
  <c r="A2939" i="1"/>
  <c r="J2938" i="1"/>
  <c r="I2938" i="1"/>
  <c r="H2938" i="1"/>
  <c r="G2938" i="1"/>
  <c r="F2938" i="1"/>
  <c r="E2938" i="1"/>
  <c r="D2938" i="1"/>
  <c r="C2938" i="1"/>
  <c r="B2938" i="1"/>
  <c r="A2938" i="1"/>
  <c r="J2937" i="1"/>
  <c r="I2937" i="1"/>
  <c r="H2937" i="1"/>
  <c r="G2937" i="1"/>
  <c r="F2937" i="1"/>
  <c r="E2937" i="1"/>
  <c r="D2937" i="1"/>
  <c r="C2937" i="1"/>
  <c r="B2937" i="1"/>
  <c r="A2937" i="1"/>
  <c r="J2936" i="1"/>
  <c r="I2936" i="1"/>
  <c r="H2936" i="1"/>
  <c r="G2936" i="1"/>
  <c r="F2936" i="1"/>
  <c r="E2936" i="1"/>
  <c r="D2936" i="1"/>
  <c r="C2936" i="1"/>
  <c r="B2936" i="1"/>
  <c r="A2936" i="1"/>
  <c r="J2935" i="1"/>
  <c r="I2935" i="1"/>
  <c r="H2935" i="1"/>
  <c r="G2935" i="1"/>
  <c r="F2935" i="1"/>
  <c r="E2935" i="1"/>
  <c r="D2935" i="1"/>
  <c r="C2935" i="1"/>
  <c r="B2935" i="1"/>
  <c r="A2935" i="1"/>
  <c r="J2934" i="1"/>
  <c r="I2934" i="1"/>
  <c r="H2934" i="1"/>
  <c r="G2934" i="1"/>
  <c r="F2934" i="1"/>
  <c r="E2934" i="1"/>
  <c r="D2934" i="1"/>
  <c r="C2934" i="1"/>
  <c r="B2934" i="1"/>
  <c r="A2934" i="1"/>
  <c r="J2933" i="1"/>
  <c r="I2933" i="1"/>
  <c r="H2933" i="1"/>
  <c r="G2933" i="1"/>
  <c r="F2933" i="1"/>
  <c r="E2933" i="1"/>
  <c r="D2933" i="1"/>
  <c r="C2933" i="1"/>
  <c r="B2933" i="1"/>
  <c r="A2933" i="1"/>
  <c r="J2932" i="1"/>
  <c r="I2932" i="1"/>
  <c r="H2932" i="1"/>
  <c r="G2932" i="1"/>
  <c r="F2932" i="1"/>
  <c r="E2932" i="1"/>
  <c r="D2932" i="1"/>
  <c r="C2932" i="1"/>
  <c r="B2932" i="1"/>
  <c r="A2932" i="1"/>
  <c r="J2931" i="1"/>
  <c r="I2931" i="1"/>
  <c r="H2931" i="1"/>
  <c r="G2931" i="1"/>
  <c r="F2931" i="1"/>
  <c r="E2931" i="1"/>
  <c r="D2931" i="1"/>
  <c r="C2931" i="1"/>
  <c r="B2931" i="1"/>
  <c r="A2931" i="1"/>
  <c r="J2930" i="1"/>
  <c r="I2930" i="1"/>
  <c r="H2930" i="1"/>
  <c r="G2930" i="1"/>
  <c r="F2930" i="1"/>
  <c r="E2930" i="1"/>
  <c r="C2930" i="1"/>
  <c r="B2930" i="1"/>
  <c r="A2930" i="1"/>
  <c r="J2929" i="1"/>
  <c r="I2929" i="1"/>
  <c r="H2929" i="1"/>
  <c r="G2929" i="1"/>
  <c r="F2929" i="1"/>
  <c r="E2929" i="1"/>
  <c r="D2929" i="1"/>
  <c r="C2929" i="1"/>
  <c r="B2929" i="1"/>
  <c r="A2929" i="1"/>
  <c r="J2928" i="1"/>
  <c r="I2928" i="1"/>
  <c r="H2928" i="1"/>
  <c r="G2928" i="1"/>
  <c r="F2928" i="1"/>
  <c r="E2928" i="1"/>
  <c r="D2928" i="1"/>
  <c r="C2928" i="1"/>
  <c r="B2928" i="1"/>
  <c r="A2928" i="1"/>
  <c r="J2927" i="1"/>
  <c r="I2927" i="1"/>
  <c r="H2927" i="1"/>
  <c r="G2927" i="1"/>
  <c r="F2927" i="1"/>
  <c r="E2927" i="1"/>
  <c r="D2927" i="1"/>
  <c r="C2927" i="1"/>
  <c r="B2927" i="1"/>
  <c r="A2927" i="1"/>
  <c r="J2926" i="1"/>
  <c r="I2926" i="1"/>
  <c r="H2926" i="1"/>
  <c r="G2926" i="1"/>
  <c r="F2926" i="1"/>
  <c r="E2926" i="1"/>
  <c r="D2926" i="1"/>
  <c r="C2926" i="1"/>
  <c r="B2926" i="1"/>
  <c r="A2926" i="1"/>
  <c r="J2925" i="1"/>
  <c r="I2925" i="1"/>
  <c r="H2925" i="1"/>
  <c r="G2925" i="1"/>
  <c r="F2925" i="1"/>
  <c r="E2925" i="1"/>
  <c r="D2925" i="1"/>
  <c r="C2925" i="1"/>
  <c r="B2925" i="1"/>
  <c r="A2925" i="1"/>
  <c r="J2924" i="1"/>
  <c r="I2924" i="1"/>
  <c r="H2924" i="1"/>
  <c r="G2924" i="1"/>
  <c r="F2924" i="1"/>
  <c r="E2924" i="1"/>
  <c r="D2924" i="1"/>
  <c r="C2924" i="1"/>
  <c r="B2924" i="1"/>
  <c r="A2924" i="1"/>
  <c r="J2923" i="1"/>
  <c r="I2923" i="1"/>
  <c r="H2923" i="1"/>
  <c r="G2923" i="1"/>
  <c r="F2923" i="1"/>
  <c r="E2923" i="1"/>
  <c r="D2923" i="1"/>
  <c r="C2923" i="1"/>
  <c r="B2923" i="1"/>
  <c r="A2923" i="1"/>
  <c r="J2922" i="1"/>
  <c r="I2922" i="1"/>
  <c r="H2922" i="1"/>
  <c r="G2922" i="1"/>
  <c r="F2922" i="1"/>
  <c r="E2922" i="1"/>
  <c r="D2922" i="1"/>
  <c r="C2922" i="1"/>
  <c r="B2922" i="1"/>
  <c r="A2922" i="1"/>
  <c r="J2921" i="1"/>
  <c r="I2921" i="1"/>
  <c r="H2921" i="1"/>
  <c r="G2921" i="1"/>
  <c r="F2921" i="1"/>
  <c r="E2921" i="1"/>
  <c r="D2921" i="1"/>
  <c r="C2921" i="1"/>
  <c r="B2921" i="1"/>
  <c r="A2921" i="1"/>
  <c r="J2920" i="1"/>
  <c r="I2920" i="1"/>
  <c r="H2920" i="1"/>
  <c r="G2920" i="1"/>
  <c r="F2920" i="1"/>
  <c r="E2920" i="1"/>
  <c r="D2920" i="1"/>
  <c r="C2920" i="1"/>
  <c r="B2920" i="1"/>
  <c r="A2920" i="1"/>
  <c r="J2919" i="1"/>
  <c r="I2919" i="1"/>
  <c r="H2919" i="1"/>
  <c r="G2919" i="1"/>
  <c r="F2919" i="1"/>
  <c r="E2919" i="1"/>
  <c r="D2919" i="1"/>
  <c r="C2919" i="1"/>
  <c r="B2919" i="1"/>
  <c r="A2919" i="1"/>
  <c r="J2918" i="1"/>
  <c r="I2918" i="1"/>
  <c r="H2918" i="1"/>
  <c r="G2918" i="1"/>
  <c r="F2918" i="1"/>
  <c r="E2918" i="1"/>
  <c r="D2918" i="1"/>
  <c r="C2918" i="1"/>
  <c r="B2918" i="1"/>
  <c r="A2918" i="1"/>
  <c r="J2917" i="1"/>
  <c r="I2917" i="1"/>
  <c r="H2917" i="1"/>
  <c r="G2917" i="1"/>
  <c r="F2917" i="1"/>
  <c r="E2917" i="1"/>
  <c r="D2917" i="1"/>
  <c r="C2917" i="1"/>
  <c r="B2917" i="1"/>
  <c r="A2917" i="1"/>
  <c r="J2916" i="1"/>
  <c r="I2916" i="1"/>
  <c r="H2916" i="1"/>
  <c r="G2916" i="1"/>
  <c r="F2916" i="1"/>
  <c r="E2916" i="1"/>
  <c r="D2916" i="1"/>
  <c r="C2916" i="1"/>
  <c r="B2916" i="1"/>
  <c r="A2916" i="1"/>
  <c r="J2915" i="1"/>
  <c r="I2915" i="1"/>
  <c r="H2915" i="1"/>
  <c r="G2915" i="1"/>
  <c r="F2915" i="1"/>
  <c r="E2915" i="1"/>
  <c r="D2915" i="1"/>
  <c r="C2915" i="1"/>
  <c r="B2915" i="1"/>
  <c r="A2915" i="1"/>
  <c r="J2914" i="1"/>
  <c r="I2914" i="1"/>
  <c r="H2914" i="1"/>
  <c r="G2914" i="1"/>
  <c r="F2914" i="1"/>
  <c r="E2914" i="1"/>
  <c r="D2914" i="1"/>
  <c r="C2914" i="1"/>
  <c r="B2914" i="1"/>
  <c r="A2914" i="1"/>
  <c r="J2913" i="1"/>
  <c r="I2913" i="1"/>
  <c r="H2913" i="1"/>
  <c r="G2913" i="1"/>
  <c r="F2913" i="1"/>
  <c r="E2913" i="1"/>
  <c r="D2913" i="1"/>
  <c r="C2913" i="1"/>
  <c r="B2913" i="1"/>
  <c r="A2913" i="1"/>
  <c r="J2912" i="1"/>
  <c r="I2912" i="1"/>
  <c r="H2912" i="1"/>
  <c r="G2912" i="1"/>
  <c r="F2912" i="1"/>
  <c r="E2912" i="1"/>
  <c r="C2912" i="1"/>
  <c r="B2912" i="1"/>
  <c r="A2912" i="1"/>
  <c r="J2911" i="1"/>
  <c r="I2911" i="1"/>
  <c r="H2911" i="1"/>
  <c r="G2911" i="1"/>
  <c r="F2911" i="1"/>
  <c r="E2911" i="1"/>
  <c r="D2911" i="1"/>
  <c r="C2911" i="1"/>
  <c r="B2911" i="1"/>
  <c r="A2911" i="1"/>
  <c r="J2910" i="1"/>
  <c r="I2910" i="1"/>
  <c r="H2910" i="1"/>
  <c r="G2910" i="1"/>
  <c r="F2910" i="1"/>
  <c r="E2910" i="1"/>
  <c r="D2910" i="1"/>
  <c r="C2910" i="1"/>
  <c r="B2910" i="1"/>
  <c r="A2910" i="1"/>
  <c r="J2909" i="1"/>
  <c r="I2909" i="1"/>
  <c r="H2909" i="1"/>
  <c r="G2909" i="1"/>
  <c r="F2909" i="1"/>
  <c r="E2909" i="1"/>
  <c r="D2909" i="1"/>
  <c r="C2909" i="1"/>
  <c r="B2909" i="1"/>
  <c r="A2909" i="1"/>
  <c r="J2908" i="1"/>
  <c r="I2908" i="1"/>
  <c r="H2908" i="1"/>
  <c r="G2908" i="1"/>
  <c r="F2908" i="1"/>
  <c r="E2908" i="1"/>
  <c r="D2908" i="1"/>
  <c r="C2908" i="1"/>
  <c r="B2908" i="1"/>
  <c r="A2908" i="1"/>
  <c r="J2907" i="1"/>
  <c r="I2907" i="1"/>
  <c r="H2907" i="1"/>
  <c r="G2907" i="1"/>
  <c r="F2907" i="1"/>
  <c r="E2907" i="1"/>
  <c r="D2907" i="1"/>
  <c r="C2907" i="1"/>
  <c r="B2907" i="1"/>
  <c r="A2907" i="1"/>
  <c r="J2906" i="1"/>
  <c r="I2906" i="1"/>
  <c r="H2906" i="1"/>
  <c r="G2906" i="1"/>
  <c r="F2906" i="1"/>
  <c r="E2906" i="1"/>
  <c r="D2906" i="1"/>
  <c r="C2906" i="1"/>
  <c r="B2906" i="1"/>
  <c r="A2906" i="1"/>
  <c r="J2905" i="1"/>
  <c r="I2905" i="1"/>
  <c r="H2905" i="1"/>
  <c r="G2905" i="1"/>
  <c r="F2905" i="1"/>
  <c r="E2905" i="1"/>
  <c r="D2905" i="1"/>
  <c r="C2905" i="1"/>
  <c r="B2905" i="1"/>
  <c r="A2905" i="1"/>
  <c r="J2904" i="1"/>
  <c r="I2904" i="1"/>
  <c r="H2904" i="1"/>
  <c r="G2904" i="1"/>
  <c r="F2904" i="1"/>
  <c r="E2904" i="1"/>
  <c r="D2904" i="1"/>
  <c r="C2904" i="1"/>
  <c r="B2904" i="1"/>
  <c r="A2904" i="1"/>
  <c r="J2903" i="1"/>
  <c r="I2903" i="1"/>
  <c r="H2903" i="1"/>
  <c r="G2903" i="1"/>
  <c r="F2903" i="1"/>
  <c r="E2903" i="1"/>
  <c r="D2903" i="1"/>
  <c r="C2903" i="1"/>
  <c r="B2903" i="1"/>
  <c r="A2903" i="1"/>
  <c r="J2902" i="1"/>
  <c r="I2902" i="1"/>
  <c r="H2902" i="1"/>
  <c r="G2902" i="1"/>
  <c r="F2902" i="1"/>
  <c r="E2902" i="1"/>
  <c r="D2902" i="1"/>
  <c r="C2902" i="1"/>
  <c r="B2902" i="1"/>
  <c r="A2902" i="1"/>
  <c r="J2901" i="1"/>
  <c r="I2901" i="1"/>
  <c r="H2901" i="1"/>
  <c r="G2901" i="1"/>
  <c r="F2901" i="1"/>
  <c r="E2901" i="1"/>
  <c r="D2901" i="1"/>
  <c r="C2901" i="1"/>
  <c r="B2901" i="1"/>
  <c r="A2901" i="1"/>
  <c r="J2900" i="1"/>
  <c r="I2900" i="1"/>
  <c r="H2900" i="1"/>
  <c r="G2900" i="1"/>
  <c r="F2900" i="1"/>
  <c r="E2900" i="1"/>
  <c r="D2900" i="1"/>
  <c r="C2900" i="1"/>
  <c r="B2900" i="1"/>
  <c r="A2900" i="1"/>
  <c r="J2899" i="1"/>
  <c r="I2899" i="1"/>
  <c r="H2899" i="1"/>
  <c r="G2899" i="1"/>
  <c r="F2899" i="1"/>
  <c r="E2899" i="1"/>
  <c r="D2899" i="1"/>
  <c r="C2899" i="1"/>
  <c r="B2899" i="1"/>
  <c r="A2899" i="1"/>
  <c r="J2898" i="1"/>
  <c r="I2898" i="1"/>
  <c r="H2898" i="1"/>
  <c r="G2898" i="1"/>
  <c r="F2898" i="1"/>
  <c r="E2898" i="1"/>
  <c r="D2898" i="1"/>
  <c r="C2898" i="1"/>
  <c r="B2898" i="1"/>
  <c r="A2898" i="1"/>
  <c r="J2897" i="1"/>
  <c r="I2897" i="1"/>
  <c r="H2897" i="1"/>
  <c r="G2897" i="1"/>
  <c r="F2897" i="1"/>
  <c r="E2897" i="1"/>
  <c r="D2897" i="1"/>
  <c r="C2897" i="1"/>
  <c r="B2897" i="1"/>
  <c r="A2897" i="1"/>
  <c r="J2896" i="1"/>
  <c r="I2896" i="1"/>
  <c r="H2896" i="1"/>
  <c r="G2896" i="1"/>
  <c r="F2896" i="1"/>
  <c r="E2896" i="1"/>
  <c r="D2896" i="1"/>
  <c r="C2896" i="1"/>
  <c r="B2896" i="1"/>
  <c r="A2896" i="1"/>
  <c r="J2895" i="1"/>
  <c r="I2895" i="1"/>
  <c r="H2895" i="1"/>
  <c r="G2895" i="1"/>
  <c r="F2895" i="1"/>
  <c r="E2895" i="1"/>
  <c r="D2895" i="1"/>
  <c r="C2895" i="1"/>
  <c r="B2895" i="1"/>
  <c r="A2895" i="1"/>
  <c r="J2894" i="1"/>
  <c r="I2894" i="1"/>
  <c r="H2894" i="1"/>
  <c r="G2894" i="1"/>
  <c r="F2894" i="1"/>
  <c r="E2894" i="1"/>
  <c r="D2894" i="1"/>
  <c r="C2894" i="1"/>
  <c r="B2894" i="1"/>
  <c r="A2894" i="1"/>
  <c r="J2893" i="1"/>
  <c r="I2893" i="1"/>
  <c r="H2893" i="1"/>
  <c r="G2893" i="1"/>
  <c r="F2893" i="1"/>
  <c r="E2893" i="1"/>
  <c r="D2893" i="1"/>
  <c r="C2893" i="1"/>
  <c r="B2893" i="1"/>
  <c r="A2893" i="1"/>
  <c r="J2892" i="1"/>
  <c r="I2892" i="1"/>
  <c r="H2892" i="1"/>
  <c r="G2892" i="1"/>
  <c r="F2892" i="1"/>
  <c r="E2892" i="1"/>
  <c r="D2892" i="1"/>
  <c r="C2892" i="1"/>
  <c r="B2892" i="1"/>
  <c r="A2892" i="1"/>
  <c r="J2891" i="1"/>
  <c r="I2891" i="1"/>
  <c r="H2891" i="1"/>
  <c r="G2891" i="1"/>
  <c r="F2891" i="1"/>
  <c r="E2891" i="1"/>
  <c r="D2891" i="1"/>
  <c r="C2891" i="1"/>
  <c r="B2891" i="1"/>
  <c r="A2891" i="1"/>
  <c r="J2890" i="1"/>
  <c r="I2890" i="1"/>
  <c r="H2890" i="1"/>
  <c r="G2890" i="1"/>
  <c r="F2890" i="1"/>
  <c r="E2890" i="1"/>
  <c r="D2890" i="1"/>
  <c r="C2890" i="1"/>
  <c r="B2890" i="1"/>
  <c r="A2890" i="1"/>
  <c r="J2889" i="1"/>
  <c r="I2889" i="1"/>
  <c r="H2889" i="1"/>
  <c r="G2889" i="1"/>
  <c r="F2889" i="1"/>
  <c r="E2889" i="1"/>
  <c r="D2889" i="1"/>
  <c r="C2889" i="1"/>
  <c r="B2889" i="1"/>
  <c r="A2889" i="1"/>
  <c r="J2888" i="1"/>
  <c r="I2888" i="1"/>
  <c r="H2888" i="1"/>
  <c r="G2888" i="1"/>
  <c r="F2888" i="1"/>
  <c r="E2888" i="1"/>
  <c r="D2888" i="1"/>
  <c r="C2888" i="1"/>
  <c r="B2888" i="1"/>
  <c r="A2888" i="1"/>
  <c r="J2887" i="1"/>
  <c r="I2887" i="1"/>
  <c r="H2887" i="1"/>
  <c r="G2887" i="1"/>
  <c r="F2887" i="1"/>
  <c r="E2887" i="1"/>
  <c r="D2887" i="1"/>
  <c r="C2887" i="1"/>
  <c r="B2887" i="1"/>
  <c r="A2887" i="1"/>
  <c r="J2886" i="1"/>
  <c r="I2886" i="1"/>
  <c r="H2886" i="1"/>
  <c r="G2886" i="1"/>
  <c r="F2886" i="1"/>
  <c r="E2886" i="1"/>
  <c r="D2886" i="1"/>
  <c r="C2886" i="1"/>
  <c r="B2886" i="1"/>
  <c r="A2886" i="1"/>
  <c r="J2885" i="1"/>
  <c r="I2885" i="1"/>
  <c r="H2885" i="1"/>
  <c r="G2885" i="1"/>
  <c r="F2885" i="1"/>
  <c r="E2885" i="1"/>
  <c r="D2885" i="1"/>
  <c r="C2885" i="1"/>
  <c r="B2885" i="1"/>
  <c r="A2885" i="1"/>
  <c r="J2884" i="1"/>
  <c r="I2884" i="1"/>
  <c r="H2884" i="1"/>
  <c r="G2884" i="1"/>
  <c r="F2884" i="1"/>
  <c r="E2884" i="1"/>
  <c r="D2884" i="1"/>
  <c r="C2884" i="1"/>
  <c r="B2884" i="1"/>
  <c r="A2884" i="1"/>
  <c r="J2883" i="1"/>
  <c r="I2883" i="1"/>
  <c r="H2883" i="1"/>
  <c r="G2883" i="1"/>
  <c r="F2883" i="1"/>
  <c r="E2883" i="1"/>
  <c r="D2883" i="1"/>
  <c r="C2883" i="1"/>
  <c r="B2883" i="1"/>
  <c r="A2883" i="1"/>
  <c r="J2882" i="1"/>
  <c r="I2882" i="1"/>
  <c r="H2882" i="1"/>
  <c r="G2882" i="1"/>
  <c r="F2882" i="1"/>
  <c r="E2882" i="1"/>
  <c r="D2882" i="1"/>
  <c r="C2882" i="1"/>
  <c r="B2882" i="1"/>
  <c r="A2882" i="1"/>
  <c r="J2881" i="1"/>
  <c r="I2881" i="1"/>
  <c r="H2881" i="1"/>
  <c r="G2881" i="1"/>
  <c r="F2881" i="1"/>
  <c r="E2881" i="1"/>
  <c r="D2881" i="1"/>
  <c r="C2881" i="1"/>
  <c r="B2881" i="1"/>
  <c r="A2881" i="1"/>
  <c r="J2880" i="1"/>
  <c r="I2880" i="1"/>
  <c r="H2880" i="1"/>
  <c r="G2880" i="1"/>
  <c r="F2880" i="1"/>
  <c r="E2880" i="1"/>
  <c r="D2880" i="1"/>
  <c r="C2880" i="1"/>
  <c r="B2880" i="1"/>
  <c r="A2880" i="1"/>
  <c r="J2879" i="1"/>
  <c r="I2879" i="1"/>
  <c r="H2879" i="1"/>
  <c r="G2879" i="1"/>
  <c r="F2879" i="1"/>
  <c r="E2879" i="1"/>
  <c r="D2879" i="1"/>
  <c r="C2879" i="1"/>
  <c r="B2879" i="1"/>
  <c r="A2879" i="1"/>
  <c r="J2878" i="1"/>
  <c r="I2878" i="1"/>
  <c r="H2878" i="1"/>
  <c r="G2878" i="1"/>
  <c r="F2878" i="1"/>
  <c r="E2878" i="1"/>
  <c r="D2878" i="1"/>
  <c r="C2878" i="1"/>
  <c r="B2878" i="1"/>
  <c r="A2878" i="1"/>
  <c r="J2877" i="1"/>
  <c r="I2877" i="1"/>
  <c r="H2877" i="1"/>
  <c r="G2877" i="1"/>
  <c r="F2877" i="1"/>
  <c r="E2877" i="1"/>
  <c r="D2877" i="1"/>
  <c r="C2877" i="1"/>
  <c r="B2877" i="1"/>
  <c r="A2877" i="1"/>
  <c r="J2876" i="1"/>
  <c r="I2876" i="1"/>
  <c r="H2876" i="1"/>
  <c r="G2876" i="1"/>
  <c r="F2876" i="1"/>
  <c r="E2876" i="1"/>
  <c r="D2876" i="1"/>
  <c r="C2876" i="1"/>
  <c r="B2876" i="1"/>
  <c r="A2876" i="1"/>
  <c r="J2875" i="1"/>
  <c r="I2875" i="1"/>
  <c r="H2875" i="1"/>
  <c r="G2875" i="1"/>
  <c r="F2875" i="1"/>
  <c r="E2875" i="1"/>
  <c r="D2875" i="1"/>
  <c r="C2875" i="1"/>
  <c r="B2875" i="1"/>
  <c r="A2875" i="1"/>
  <c r="J2874" i="1"/>
  <c r="I2874" i="1"/>
  <c r="H2874" i="1"/>
  <c r="G2874" i="1"/>
  <c r="F2874" i="1"/>
  <c r="E2874" i="1"/>
  <c r="D2874" i="1"/>
  <c r="C2874" i="1"/>
  <c r="B2874" i="1"/>
  <c r="A2874" i="1"/>
  <c r="J2873" i="1"/>
  <c r="I2873" i="1"/>
  <c r="H2873" i="1"/>
  <c r="G2873" i="1"/>
  <c r="F2873" i="1"/>
  <c r="E2873" i="1"/>
  <c r="D2873" i="1"/>
  <c r="C2873" i="1"/>
  <c r="B2873" i="1"/>
  <c r="A2873" i="1"/>
  <c r="J2872" i="1"/>
  <c r="I2872" i="1"/>
  <c r="H2872" i="1"/>
  <c r="G2872" i="1"/>
  <c r="F2872" i="1"/>
  <c r="E2872" i="1"/>
  <c r="D2872" i="1"/>
  <c r="C2872" i="1"/>
  <c r="B2872" i="1"/>
  <c r="A2872" i="1"/>
  <c r="J2871" i="1"/>
  <c r="I2871" i="1"/>
  <c r="H2871" i="1"/>
  <c r="G2871" i="1"/>
  <c r="F2871" i="1"/>
  <c r="E2871" i="1"/>
  <c r="D2871" i="1"/>
  <c r="C2871" i="1"/>
  <c r="B2871" i="1"/>
  <c r="A2871" i="1"/>
  <c r="J2870" i="1"/>
  <c r="I2870" i="1"/>
  <c r="H2870" i="1"/>
  <c r="G2870" i="1"/>
  <c r="F2870" i="1"/>
  <c r="E2870" i="1"/>
  <c r="D2870" i="1"/>
  <c r="C2870" i="1"/>
  <c r="B2870" i="1"/>
  <c r="A2870" i="1"/>
  <c r="J2869" i="1"/>
  <c r="I2869" i="1"/>
  <c r="H2869" i="1"/>
  <c r="G2869" i="1"/>
  <c r="F2869" i="1"/>
  <c r="E2869" i="1"/>
  <c r="D2869" i="1"/>
  <c r="C2869" i="1"/>
  <c r="B2869" i="1"/>
  <c r="A2869" i="1"/>
  <c r="J2868" i="1"/>
  <c r="I2868" i="1"/>
  <c r="H2868" i="1"/>
  <c r="G2868" i="1"/>
  <c r="F2868" i="1"/>
  <c r="E2868" i="1"/>
  <c r="D2868" i="1"/>
  <c r="C2868" i="1"/>
  <c r="B2868" i="1"/>
  <c r="A2868" i="1"/>
  <c r="J2867" i="1"/>
  <c r="I2867" i="1"/>
  <c r="H2867" i="1"/>
  <c r="G2867" i="1"/>
  <c r="F2867" i="1"/>
  <c r="E2867" i="1"/>
  <c r="D2867" i="1"/>
  <c r="C2867" i="1"/>
  <c r="B2867" i="1"/>
  <c r="A2867" i="1"/>
  <c r="J2866" i="1"/>
  <c r="I2866" i="1"/>
  <c r="H2866" i="1"/>
  <c r="G2866" i="1"/>
  <c r="F2866" i="1"/>
  <c r="E2866" i="1"/>
  <c r="D2866" i="1"/>
  <c r="C2866" i="1"/>
  <c r="B2866" i="1"/>
  <c r="A2866" i="1"/>
  <c r="J2865" i="1"/>
  <c r="I2865" i="1"/>
  <c r="H2865" i="1"/>
  <c r="G2865" i="1"/>
  <c r="F2865" i="1"/>
  <c r="E2865" i="1"/>
  <c r="D2865" i="1"/>
  <c r="C2865" i="1"/>
  <c r="B2865" i="1"/>
  <c r="A2865" i="1"/>
  <c r="J2864" i="1"/>
  <c r="I2864" i="1"/>
  <c r="H2864" i="1"/>
  <c r="G2864" i="1"/>
  <c r="F2864" i="1"/>
  <c r="E2864" i="1"/>
  <c r="D2864" i="1"/>
  <c r="C2864" i="1"/>
  <c r="B2864" i="1"/>
  <c r="A2864" i="1"/>
  <c r="J2863" i="1"/>
  <c r="I2863" i="1"/>
  <c r="H2863" i="1"/>
  <c r="G2863" i="1"/>
  <c r="F2863" i="1"/>
  <c r="E2863" i="1"/>
  <c r="D2863" i="1"/>
  <c r="C2863" i="1"/>
  <c r="B2863" i="1"/>
  <c r="A2863" i="1"/>
  <c r="J2862" i="1"/>
  <c r="I2862" i="1"/>
  <c r="H2862" i="1"/>
  <c r="G2862" i="1"/>
  <c r="F2862" i="1"/>
  <c r="E2862" i="1"/>
  <c r="D2862" i="1"/>
  <c r="C2862" i="1"/>
  <c r="B2862" i="1"/>
  <c r="A2862" i="1"/>
  <c r="J2861" i="1"/>
  <c r="I2861" i="1"/>
  <c r="H2861" i="1"/>
  <c r="G2861" i="1"/>
  <c r="F2861" i="1"/>
  <c r="E2861" i="1"/>
  <c r="D2861" i="1"/>
  <c r="C2861" i="1"/>
  <c r="B2861" i="1"/>
  <c r="A2861" i="1"/>
  <c r="J2860" i="1"/>
  <c r="I2860" i="1"/>
  <c r="H2860" i="1"/>
  <c r="G2860" i="1"/>
  <c r="F2860" i="1"/>
  <c r="E2860" i="1"/>
  <c r="C2860" i="1"/>
  <c r="B2860" i="1"/>
  <c r="A2860" i="1"/>
  <c r="J2859" i="1"/>
  <c r="I2859" i="1"/>
  <c r="H2859" i="1"/>
  <c r="G2859" i="1"/>
  <c r="F2859" i="1"/>
  <c r="E2859" i="1"/>
  <c r="D2859" i="1"/>
  <c r="C2859" i="1"/>
  <c r="B2859" i="1"/>
  <c r="A2859" i="1"/>
  <c r="J2858" i="1"/>
  <c r="I2858" i="1"/>
  <c r="H2858" i="1"/>
  <c r="G2858" i="1"/>
  <c r="F2858" i="1"/>
  <c r="E2858" i="1"/>
  <c r="D2858" i="1"/>
  <c r="C2858" i="1"/>
  <c r="B2858" i="1"/>
  <c r="A2858" i="1"/>
  <c r="J2857" i="1"/>
  <c r="I2857" i="1"/>
  <c r="H2857" i="1"/>
  <c r="G2857" i="1"/>
  <c r="F2857" i="1"/>
  <c r="E2857" i="1"/>
  <c r="D2857" i="1"/>
  <c r="C2857" i="1"/>
  <c r="B2857" i="1"/>
  <c r="A2857" i="1"/>
  <c r="J2856" i="1"/>
  <c r="I2856" i="1"/>
  <c r="H2856" i="1"/>
  <c r="G2856" i="1"/>
  <c r="F2856" i="1"/>
  <c r="E2856" i="1"/>
  <c r="D2856" i="1"/>
  <c r="C2856" i="1"/>
  <c r="B2856" i="1"/>
  <c r="A2856" i="1"/>
  <c r="J2855" i="1"/>
  <c r="I2855" i="1"/>
  <c r="H2855" i="1"/>
  <c r="G2855" i="1"/>
  <c r="F2855" i="1"/>
  <c r="E2855" i="1"/>
  <c r="D2855" i="1"/>
  <c r="C2855" i="1"/>
  <c r="B2855" i="1"/>
  <c r="A2855" i="1"/>
  <c r="J2854" i="1"/>
  <c r="I2854" i="1"/>
  <c r="H2854" i="1"/>
  <c r="G2854" i="1"/>
  <c r="F2854" i="1"/>
  <c r="E2854" i="1"/>
  <c r="D2854" i="1"/>
  <c r="C2854" i="1"/>
  <c r="B2854" i="1"/>
  <c r="A2854" i="1"/>
  <c r="J2853" i="1"/>
  <c r="I2853" i="1"/>
  <c r="H2853" i="1"/>
  <c r="G2853" i="1"/>
  <c r="F2853" i="1"/>
  <c r="E2853" i="1"/>
  <c r="D2853" i="1"/>
  <c r="C2853" i="1"/>
  <c r="B2853" i="1"/>
  <c r="A2853" i="1"/>
  <c r="J2852" i="1"/>
  <c r="I2852" i="1"/>
  <c r="H2852" i="1"/>
  <c r="G2852" i="1"/>
  <c r="F2852" i="1"/>
  <c r="E2852" i="1"/>
  <c r="D2852" i="1"/>
  <c r="C2852" i="1"/>
  <c r="B2852" i="1"/>
  <c r="A2852" i="1"/>
  <c r="J2851" i="1"/>
  <c r="I2851" i="1"/>
  <c r="H2851" i="1"/>
  <c r="G2851" i="1"/>
  <c r="F2851" i="1"/>
  <c r="E2851" i="1"/>
  <c r="D2851" i="1"/>
  <c r="C2851" i="1"/>
  <c r="B2851" i="1"/>
  <c r="A2851" i="1"/>
  <c r="J2850" i="1"/>
  <c r="I2850" i="1"/>
  <c r="H2850" i="1"/>
  <c r="G2850" i="1"/>
  <c r="F2850" i="1"/>
  <c r="E2850" i="1"/>
  <c r="D2850" i="1"/>
  <c r="C2850" i="1"/>
  <c r="B2850" i="1"/>
  <c r="A2850" i="1"/>
  <c r="J2849" i="1"/>
  <c r="I2849" i="1"/>
  <c r="H2849" i="1"/>
  <c r="G2849" i="1"/>
  <c r="F2849" i="1"/>
  <c r="E2849" i="1"/>
  <c r="D2849" i="1"/>
  <c r="C2849" i="1"/>
  <c r="B2849" i="1"/>
  <c r="A2849" i="1"/>
  <c r="J2848" i="1"/>
  <c r="I2848" i="1"/>
  <c r="H2848" i="1"/>
  <c r="G2848" i="1"/>
  <c r="F2848" i="1"/>
  <c r="E2848" i="1"/>
  <c r="C2848" i="1"/>
  <c r="B2848" i="1"/>
  <c r="A2848" i="1"/>
  <c r="J2847" i="1"/>
  <c r="I2847" i="1"/>
  <c r="H2847" i="1"/>
  <c r="G2847" i="1"/>
  <c r="F2847" i="1"/>
  <c r="E2847" i="1"/>
  <c r="D2847" i="1"/>
  <c r="C2847" i="1"/>
  <c r="B2847" i="1"/>
  <c r="A2847" i="1"/>
  <c r="J2846" i="1"/>
  <c r="I2846" i="1"/>
  <c r="H2846" i="1"/>
  <c r="G2846" i="1"/>
  <c r="F2846" i="1"/>
  <c r="E2846" i="1"/>
  <c r="D2846" i="1"/>
  <c r="C2846" i="1"/>
  <c r="B2846" i="1"/>
  <c r="A2846" i="1"/>
  <c r="J2845" i="1"/>
  <c r="I2845" i="1"/>
  <c r="H2845" i="1"/>
  <c r="G2845" i="1"/>
  <c r="F2845" i="1"/>
  <c r="E2845" i="1"/>
  <c r="D2845" i="1"/>
  <c r="C2845" i="1"/>
  <c r="B2845" i="1"/>
  <c r="A2845" i="1"/>
  <c r="J2844" i="1"/>
  <c r="I2844" i="1"/>
  <c r="H2844" i="1"/>
  <c r="G2844" i="1"/>
  <c r="F2844" i="1"/>
  <c r="E2844" i="1"/>
  <c r="D2844" i="1"/>
  <c r="C2844" i="1"/>
  <c r="B2844" i="1"/>
  <c r="A2844" i="1"/>
  <c r="J2843" i="1"/>
  <c r="I2843" i="1"/>
  <c r="H2843" i="1"/>
  <c r="G2843" i="1"/>
  <c r="F2843" i="1"/>
  <c r="E2843" i="1"/>
  <c r="C2843" i="1"/>
  <c r="B2843" i="1"/>
  <c r="A2843" i="1"/>
  <c r="J2842" i="1"/>
  <c r="I2842" i="1"/>
  <c r="H2842" i="1"/>
  <c r="G2842" i="1"/>
  <c r="F2842" i="1"/>
  <c r="E2842" i="1"/>
  <c r="D2842" i="1"/>
  <c r="C2842" i="1"/>
  <c r="B2842" i="1"/>
  <c r="A2842" i="1"/>
  <c r="J2841" i="1"/>
  <c r="I2841" i="1"/>
  <c r="H2841" i="1"/>
  <c r="G2841" i="1"/>
  <c r="F2841" i="1"/>
  <c r="E2841" i="1"/>
  <c r="D2841" i="1"/>
  <c r="C2841" i="1"/>
  <c r="B2841" i="1"/>
  <c r="A2841" i="1"/>
  <c r="J2840" i="1"/>
  <c r="I2840" i="1"/>
  <c r="H2840" i="1"/>
  <c r="G2840" i="1"/>
  <c r="F2840" i="1"/>
  <c r="E2840" i="1"/>
  <c r="D2840" i="1"/>
  <c r="C2840" i="1"/>
  <c r="B2840" i="1"/>
  <c r="A2840" i="1"/>
  <c r="J2839" i="1"/>
  <c r="I2839" i="1"/>
  <c r="H2839" i="1"/>
  <c r="G2839" i="1"/>
  <c r="F2839" i="1"/>
  <c r="E2839" i="1"/>
  <c r="D2839" i="1"/>
  <c r="C2839" i="1"/>
  <c r="B2839" i="1"/>
  <c r="A2839" i="1"/>
  <c r="J2838" i="1"/>
  <c r="I2838" i="1"/>
  <c r="H2838" i="1"/>
  <c r="G2838" i="1"/>
  <c r="F2838" i="1"/>
  <c r="E2838" i="1"/>
  <c r="C2838" i="1"/>
  <c r="B2838" i="1"/>
  <c r="A2838" i="1"/>
  <c r="J2837" i="1"/>
  <c r="I2837" i="1"/>
  <c r="H2837" i="1"/>
  <c r="G2837" i="1"/>
  <c r="F2837" i="1"/>
  <c r="E2837" i="1"/>
  <c r="D2837" i="1"/>
  <c r="C2837" i="1"/>
  <c r="B2837" i="1"/>
  <c r="A2837" i="1"/>
  <c r="J2836" i="1"/>
  <c r="I2836" i="1"/>
  <c r="H2836" i="1"/>
  <c r="G2836" i="1"/>
  <c r="F2836" i="1"/>
  <c r="E2836" i="1"/>
  <c r="D2836" i="1"/>
  <c r="C2836" i="1"/>
  <c r="B2836" i="1"/>
  <c r="A2836" i="1"/>
  <c r="J2835" i="1"/>
  <c r="I2835" i="1"/>
  <c r="H2835" i="1"/>
  <c r="G2835" i="1"/>
  <c r="F2835" i="1"/>
  <c r="E2835" i="1"/>
  <c r="D2835" i="1"/>
  <c r="C2835" i="1"/>
  <c r="B2835" i="1"/>
  <c r="A2835" i="1"/>
  <c r="J2834" i="1"/>
  <c r="I2834" i="1"/>
  <c r="H2834" i="1"/>
  <c r="G2834" i="1"/>
  <c r="F2834" i="1"/>
  <c r="E2834" i="1"/>
  <c r="D2834" i="1"/>
  <c r="C2834" i="1"/>
  <c r="B2834" i="1"/>
  <c r="A2834" i="1"/>
  <c r="J2833" i="1"/>
  <c r="I2833" i="1"/>
  <c r="H2833" i="1"/>
  <c r="G2833" i="1"/>
  <c r="F2833" i="1"/>
  <c r="E2833" i="1"/>
  <c r="D2833" i="1"/>
  <c r="C2833" i="1"/>
  <c r="B2833" i="1"/>
  <c r="A2833" i="1"/>
  <c r="J2832" i="1"/>
  <c r="I2832" i="1"/>
  <c r="H2832" i="1"/>
  <c r="G2832" i="1"/>
  <c r="F2832" i="1"/>
  <c r="E2832" i="1"/>
  <c r="D2832" i="1"/>
  <c r="C2832" i="1"/>
  <c r="B2832" i="1"/>
  <c r="A2832" i="1"/>
  <c r="J2831" i="1"/>
  <c r="I2831" i="1"/>
  <c r="H2831" i="1"/>
  <c r="G2831" i="1"/>
  <c r="F2831" i="1"/>
  <c r="E2831" i="1"/>
  <c r="D2831" i="1"/>
  <c r="C2831" i="1"/>
  <c r="B2831" i="1"/>
  <c r="A2831" i="1"/>
  <c r="J2830" i="1"/>
  <c r="I2830" i="1"/>
  <c r="H2830" i="1"/>
  <c r="G2830" i="1"/>
  <c r="F2830" i="1"/>
  <c r="E2830" i="1"/>
  <c r="D2830" i="1"/>
  <c r="C2830" i="1"/>
  <c r="B2830" i="1"/>
  <c r="A2830" i="1"/>
  <c r="J2829" i="1"/>
  <c r="I2829" i="1"/>
  <c r="H2829" i="1"/>
  <c r="G2829" i="1"/>
  <c r="F2829" i="1"/>
  <c r="E2829" i="1"/>
  <c r="D2829" i="1"/>
  <c r="C2829" i="1"/>
  <c r="B2829" i="1"/>
  <c r="A2829" i="1"/>
  <c r="J2828" i="1"/>
  <c r="I2828" i="1"/>
  <c r="H2828" i="1"/>
  <c r="G2828" i="1"/>
  <c r="F2828" i="1"/>
  <c r="E2828" i="1"/>
  <c r="D2828" i="1"/>
  <c r="C2828" i="1"/>
  <c r="B2828" i="1"/>
  <c r="A2828" i="1"/>
  <c r="J2827" i="1"/>
  <c r="I2827" i="1"/>
  <c r="H2827" i="1"/>
  <c r="G2827" i="1"/>
  <c r="F2827" i="1"/>
  <c r="E2827" i="1"/>
  <c r="D2827" i="1"/>
  <c r="C2827" i="1"/>
  <c r="B2827" i="1"/>
  <c r="A2827" i="1"/>
  <c r="J2826" i="1"/>
  <c r="I2826" i="1"/>
  <c r="H2826" i="1"/>
  <c r="G2826" i="1"/>
  <c r="F2826" i="1"/>
  <c r="E2826" i="1"/>
  <c r="C2826" i="1"/>
  <c r="B2826" i="1"/>
  <c r="A2826" i="1"/>
  <c r="J2825" i="1"/>
  <c r="I2825" i="1"/>
  <c r="H2825" i="1"/>
  <c r="G2825" i="1"/>
  <c r="F2825" i="1"/>
  <c r="E2825" i="1"/>
  <c r="D2825" i="1"/>
  <c r="C2825" i="1"/>
  <c r="B2825" i="1"/>
  <c r="A2825" i="1"/>
  <c r="J2824" i="1"/>
  <c r="I2824" i="1"/>
  <c r="H2824" i="1"/>
  <c r="G2824" i="1"/>
  <c r="F2824" i="1"/>
  <c r="E2824" i="1"/>
  <c r="D2824" i="1"/>
  <c r="C2824" i="1"/>
  <c r="B2824" i="1"/>
  <c r="A2824" i="1"/>
  <c r="J2823" i="1"/>
  <c r="I2823" i="1"/>
  <c r="H2823" i="1"/>
  <c r="G2823" i="1"/>
  <c r="F2823" i="1"/>
  <c r="E2823" i="1"/>
  <c r="D2823" i="1"/>
  <c r="C2823" i="1"/>
  <c r="B2823" i="1"/>
  <c r="A2823" i="1"/>
  <c r="J2822" i="1"/>
  <c r="I2822" i="1"/>
  <c r="H2822" i="1"/>
  <c r="G2822" i="1"/>
  <c r="F2822" i="1"/>
  <c r="E2822" i="1"/>
  <c r="D2822" i="1"/>
  <c r="C2822" i="1"/>
  <c r="B2822" i="1"/>
  <c r="A2822" i="1"/>
  <c r="J2821" i="1"/>
  <c r="I2821" i="1"/>
  <c r="H2821" i="1"/>
  <c r="G2821" i="1"/>
  <c r="F2821" i="1"/>
  <c r="E2821" i="1"/>
  <c r="D2821" i="1"/>
  <c r="C2821" i="1"/>
  <c r="B2821" i="1"/>
  <c r="A2821" i="1"/>
  <c r="J2820" i="1"/>
  <c r="I2820" i="1"/>
  <c r="H2820" i="1"/>
  <c r="G2820" i="1"/>
  <c r="F2820" i="1"/>
  <c r="E2820" i="1"/>
  <c r="C2820" i="1"/>
  <c r="B2820" i="1"/>
  <c r="A2820" i="1"/>
  <c r="J2819" i="1"/>
  <c r="I2819" i="1"/>
  <c r="H2819" i="1"/>
  <c r="G2819" i="1"/>
  <c r="F2819" i="1"/>
  <c r="E2819" i="1"/>
  <c r="C2819" i="1"/>
  <c r="B2819" i="1"/>
  <c r="A2819" i="1"/>
  <c r="J2818" i="1"/>
  <c r="I2818" i="1"/>
  <c r="H2818" i="1"/>
  <c r="G2818" i="1"/>
  <c r="F2818" i="1"/>
  <c r="E2818" i="1"/>
  <c r="C2818" i="1"/>
  <c r="B2818" i="1"/>
  <c r="A2818" i="1"/>
  <c r="J2817" i="1"/>
  <c r="I2817" i="1"/>
  <c r="H2817" i="1"/>
  <c r="G2817" i="1"/>
  <c r="F2817" i="1"/>
  <c r="E2817" i="1"/>
  <c r="D2817" i="1"/>
  <c r="C2817" i="1"/>
  <c r="B2817" i="1"/>
  <c r="A2817" i="1"/>
  <c r="J2816" i="1"/>
  <c r="I2816" i="1"/>
  <c r="H2816" i="1"/>
  <c r="G2816" i="1"/>
  <c r="F2816" i="1"/>
  <c r="E2816" i="1"/>
  <c r="D2816" i="1"/>
  <c r="C2816" i="1"/>
  <c r="B2816" i="1"/>
  <c r="A2816" i="1"/>
  <c r="J2815" i="1"/>
  <c r="I2815" i="1"/>
  <c r="H2815" i="1"/>
  <c r="G2815" i="1"/>
  <c r="F2815" i="1"/>
  <c r="E2815" i="1"/>
  <c r="D2815" i="1"/>
  <c r="C2815" i="1"/>
  <c r="B2815" i="1"/>
  <c r="A2815" i="1"/>
  <c r="J2814" i="1"/>
  <c r="I2814" i="1"/>
  <c r="H2814" i="1"/>
  <c r="G2814" i="1"/>
  <c r="F2814" i="1"/>
  <c r="E2814" i="1"/>
  <c r="D2814" i="1"/>
  <c r="C2814" i="1"/>
  <c r="B2814" i="1"/>
  <c r="A2814" i="1"/>
  <c r="J2813" i="1"/>
  <c r="I2813" i="1"/>
  <c r="H2813" i="1"/>
  <c r="G2813" i="1"/>
  <c r="F2813" i="1"/>
  <c r="E2813" i="1"/>
  <c r="D2813" i="1"/>
  <c r="C2813" i="1"/>
  <c r="B2813" i="1"/>
  <c r="A2813" i="1"/>
  <c r="J2812" i="1"/>
  <c r="I2812" i="1"/>
  <c r="H2812" i="1"/>
  <c r="G2812" i="1"/>
  <c r="F2812" i="1"/>
  <c r="E2812" i="1"/>
  <c r="C2812" i="1"/>
  <c r="B2812" i="1"/>
  <c r="A2812" i="1"/>
  <c r="J2811" i="1"/>
  <c r="I2811" i="1"/>
  <c r="H2811" i="1"/>
  <c r="G2811" i="1"/>
  <c r="F2811" i="1"/>
  <c r="E2811" i="1"/>
  <c r="D2811" i="1"/>
  <c r="C2811" i="1"/>
  <c r="B2811" i="1"/>
  <c r="A2811" i="1"/>
  <c r="J2810" i="1"/>
  <c r="I2810" i="1"/>
  <c r="H2810" i="1"/>
  <c r="G2810" i="1"/>
  <c r="F2810" i="1"/>
  <c r="E2810" i="1"/>
  <c r="D2810" i="1"/>
  <c r="C2810" i="1"/>
  <c r="B2810" i="1"/>
  <c r="A2810" i="1"/>
  <c r="J2809" i="1"/>
  <c r="I2809" i="1"/>
  <c r="H2809" i="1"/>
  <c r="G2809" i="1"/>
  <c r="F2809" i="1"/>
  <c r="E2809" i="1"/>
  <c r="D2809" i="1"/>
  <c r="C2809" i="1"/>
  <c r="B2809" i="1"/>
  <c r="A2809" i="1"/>
  <c r="J2808" i="1"/>
  <c r="I2808" i="1"/>
  <c r="H2808" i="1"/>
  <c r="G2808" i="1"/>
  <c r="F2808" i="1"/>
  <c r="E2808" i="1"/>
  <c r="C2808" i="1"/>
  <c r="B2808" i="1"/>
  <c r="A2808" i="1"/>
  <c r="J2807" i="1"/>
  <c r="I2807" i="1"/>
  <c r="H2807" i="1"/>
  <c r="G2807" i="1"/>
  <c r="F2807" i="1"/>
  <c r="E2807" i="1"/>
  <c r="D2807" i="1"/>
  <c r="C2807" i="1"/>
  <c r="B2807" i="1"/>
  <c r="A2807" i="1"/>
  <c r="J2806" i="1"/>
  <c r="I2806" i="1"/>
  <c r="H2806" i="1"/>
  <c r="G2806" i="1"/>
  <c r="F2806" i="1"/>
  <c r="E2806" i="1"/>
  <c r="D2806" i="1"/>
  <c r="C2806" i="1"/>
  <c r="B2806" i="1"/>
  <c r="A2806" i="1"/>
  <c r="J2805" i="1"/>
  <c r="I2805" i="1"/>
  <c r="H2805" i="1"/>
  <c r="G2805" i="1"/>
  <c r="F2805" i="1"/>
  <c r="E2805" i="1"/>
  <c r="D2805" i="1"/>
  <c r="C2805" i="1"/>
  <c r="B2805" i="1"/>
  <c r="A2805" i="1"/>
  <c r="J2804" i="1"/>
  <c r="I2804" i="1"/>
  <c r="H2804" i="1"/>
  <c r="G2804" i="1"/>
  <c r="F2804" i="1"/>
  <c r="E2804" i="1"/>
  <c r="D2804" i="1"/>
  <c r="C2804" i="1"/>
  <c r="B2804" i="1"/>
  <c r="A2804" i="1"/>
  <c r="J2803" i="1"/>
  <c r="I2803" i="1"/>
  <c r="H2803" i="1"/>
  <c r="G2803" i="1"/>
  <c r="F2803" i="1"/>
  <c r="E2803" i="1"/>
  <c r="D2803" i="1"/>
  <c r="C2803" i="1"/>
  <c r="B2803" i="1"/>
  <c r="A2803" i="1"/>
  <c r="J2802" i="1"/>
  <c r="I2802" i="1"/>
  <c r="H2802" i="1"/>
  <c r="G2802" i="1"/>
  <c r="F2802" i="1"/>
  <c r="E2802" i="1"/>
  <c r="D2802" i="1"/>
  <c r="C2802" i="1"/>
  <c r="B2802" i="1"/>
  <c r="A2802" i="1"/>
  <c r="J2801" i="1"/>
  <c r="I2801" i="1"/>
  <c r="H2801" i="1"/>
  <c r="G2801" i="1"/>
  <c r="F2801" i="1"/>
  <c r="E2801" i="1"/>
  <c r="D2801" i="1"/>
  <c r="C2801" i="1"/>
  <c r="B2801" i="1"/>
  <c r="A2801" i="1"/>
  <c r="J2800" i="1"/>
  <c r="I2800" i="1"/>
  <c r="H2800" i="1"/>
  <c r="G2800" i="1"/>
  <c r="F2800" i="1"/>
  <c r="E2800" i="1"/>
  <c r="D2800" i="1"/>
  <c r="C2800" i="1"/>
  <c r="B2800" i="1"/>
  <c r="A2800" i="1"/>
  <c r="J2799" i="1"/>
  <c r="I2799" i="1"/>
  <c r="H2799" i="1"/>
  <c r="G2799" i="1"/>
  <c r="F2799" i="1"/>
  <c r="E2799" i="1"/>
  <c r="D2799" i="1"/>
  <c r="C2799" i="1"/>
  <c r="B2799" i="1"/>
  <c r="A2799" i="1"/>
  <c r="J2798" i="1"/>
  <c r="I2798" i="1"/>
  <c r="H2798" i="1"/>
  <c r="G2798" i="1"/>
  <c r="F2798" i="1"/>
  <c r="E2798" i="1"/>
  <c r="D2798" i="1"/>
  <c r="C2798" i="1"/>
  <c r="B2798" i="1"/>
  <c r="A2798" i="1"/>
  <c r="J2797" i="1"/>
  <c r="I2797" i="1"/>
  <c r="H2797" i="1"/>
  <c r="G2797" i="1"/>
  <c r="F2797" i="1"/>
  <c r="E2797" i="1"/>
  <c r="D2797" i="1"/>
  <c r="C2797" i="1"/>
  <c r="B2797" i="1"/>
  <c r="A2797" i="1"/>
  <c r="J2796" i="1"/>
  <c r="I2796" i="1"/>
  <c r="H2796" i="1"/>
  <c r="G2796" i="1"/>
  <c r="F2796" i="1"/>
  <c r="E2796" i="1"/>
  <c r="D2796" i="1"/>
  <c r="C2796" i="1"/>
  <c r="B2796" i="1"/>
  <c r="A2796" i="1"/>
  <c r="J2795" i="1"/>
  <c r="I2795" i="1"/>
  <c r="H2795" i="1"/>
  <c r="G2795" i="1"/>
  <c r="F2795" i="1"/>
  <c r="E2795" i="1"/>
  <c r="D2795" i="1"/>
  <c r="C2795" i="1"/>
  <c r="B2795" i="1"/>
  <c r="A2795" i="1"/>
  <c r="J2794" i="1"/>
  <c r="I2794" i="1"/>
  <c r="H2794" i="1"/>
  <c r="G2794" i="1"/>
  <c r="F2794" i="1"/>
  <c r="E2794" i="1"/>
  <c r="D2794" i="1"/>
  <c r="C2794" i="1"/>
  <c r="B2794" i="1"/>
  <c r="A2794" i="1"/>
  <c r="J2793" i="1"/>
  <c r="I2793" i="1"/>
  <c r="H2793" i="1"/>
  <c r="G2793" i="1"/>
  <c r="F2793" i="1"/>
  <c r="E2793" i="1"/>
  <c r="D2793" i="1"/>
  <c r="C2793" i="1"/>
  <c r="B2793" i="1"/>
  <c r="A2793" i="1"/>
  <c r="J2792" i="1"/>
  <c r="I2792" i="1"/>
  <c r="H2792" i="1"/>
  <c r="G2792" i="1"/>
  <c r="F2792" i="1"/>
  <c r="E2792" i="1"/>
  <c r="D2792" i="1"/>
  <c r="C2792" i="1"/>
  <c r="B2792" i="1"/>
  <c r="A2792" i="1"/>
  <c r="J2791" i="1"/>
  <c r="I2791" i="1"/>
  <c r="H2791" i="1"/>
  <c r="G2791" i="1"/>
  <c r="F2791" i="1"/>
  <c r="E2791" i="1"/>
  <c r="D2791" i="1"/>
  <c r="C2791" i="1"/>
  <c r="B2791" i="1"/>
  <c r="A2791" i="1"/>
  <c r="J2790" i="1"/>
  <c r="I2790" i="1"/>
  <c r="H2790" i="1"/>
  <c r="G2790" i="1"/>
  <c r="F2790" i="1"/>
  <c r="E2790" i="1"/>
  <c r="D2790" i="1"/>
  <c r="C2790" i="1"/>
  <c r="B2790" i="1"/>
  <c r="A2790" i="1"/>
  <c r="J2789" i="1"/>
  <c r="I2789" i="1"/>
  <c r="H2789" i="1"/>
  <c r="G2789" i="1"/>
  <c r="F2789" i="1"/>
  <c r="E2789" i="1"/>
  <c r="D2789" i="1"/>
  <c r="C2789" i="1"/>
  <c r="B2789" i="1"/>
  <c r="A2789" i="1"/>
  <c r="J2788" i="1"/>
  <c r="I2788" i="1"/>
  <c r="H2788" i="1"/>
  <c r="G2788" i="1"/>
  <c r="F2788" i="1"/>
  <c r="E2788" i="1"/>
  <c r="D2788" i="1"/>
  <c r="C2788" i="1"/>
  <c r="B2788" i="1"/>
  <c r="A2788" i="1"/>
  <c r="J2787" i="1"/>
  <c r="I2787" i="1"/>
  <c r="H2787" i="1"/>
  <c r="G2787" i="1"/>
  <c r="F2787" i="1"/>
  <c r="E2787" i="1"/>
  <c r="D2787" i="1"/>
  <c r="C2787" i="1"/>
  <c r="B2787" i="1"/>
  <c r="A2787" i="1"/>
  <c r="J2786" i="1"/>
  <c r="I2786" i="1"/>
  <c r="H2786" i="1"/>
  <c r="G2786" i="1"/>
  <c r="F2786" i="1"/>
  <c r="E2786" i="1"/>
  <c r="D2786" i="1"/>
  <c r="C2786" i="1"/>
  <c r="B2786" i="1"/>
  <c r="A2786" i="1"/>
  <c r="J2785" i="1"/>
  <c r="I2785" i="1"/>
  <c r="H2785" i="1"/>
  <c r="G2785" i="1"/>
  <c r="F2785" i="1"/>
  <c r="E2785" i="1"/>
  <c r="D2785" i="1"/>
  <c r="C2785" i="1"/>
  <c r="B2785" i="1"/>
  <c r="A2785" i="1"/>
  <c r="J2784" i="1"/>
  <c r="I2784" i="1"/>
  <c r="H2784" i="1"/>
  <c r="G2784" i="1"/>
  <c r="F2784" i="1"/>
  <c r="E2784" i="1"/>
  <c r="D2784" i="1"/>
  <c r="C2784" i="1"/>
  <c r="B2784" i="1"/>
  <c r="A2784" i="1"/>
  <c r="J2783" i="1"/>
  <c r="I2783" i="1"/>
  <c r="H2783" i="1"/>
  <c r="G2783" i="1"/>
  <c r="F2783" i="1"/>
  <c r="E2783" i="1"/>
  <c r="D2783" i="1"/>
  <c r="C2783" i="1"/>
  <c r="B2783" i="1"/>
  <c r="A2783" i="1"/>
  <c r="J2782" i="1"/>
  <c r="I2782" i="1"/>
  <c r="H2782" i="1"/>
  <c r="G2782" i="1"/>
  <c r="F2782" i="1"/>
  <c r="E2782" i="1"/>
  <c r="D2782" i="1"/>
  <c r="C2782" i="1"/>
  <c r="B2782" i="1"/>
  <c r="A2782" i="1"/>
  <c r="J2781" i="1"/>
  <c r="I2781" i="1"/>
  <c r="H2781" i="1"/>
  <c r="G2781" i="1"/>
  <c r="F2781" i="1"/>
  <c r="E2781" i="1"/>
  <c r="D2781" i="1"/>
  <c r="C2781" i="1"/>
  <c r="B2781" i="1"/>
  <c r="A2781" i="1"/>
  <c r="J2780" i="1"/>
  <c r="I2780" i="1"/>
  <c r="H2780" i="1"/>
  <c r="G2780" i="1"/>
  <c r="F2780" i="1"/>
  <c r="E2780" i="1"/>
  <c r="D2780" i="1"/>
  <c r="C2780" i="1"/>
  <c r="B2780" i="1"/>
  <c r="A2780" i="1"/>
  <c r="J2779" i="1"/>
  <c r="I2779" i="1"/>
  <c r="H2779" i="1"/>
  <c r="G2779" i="1"/>
  <c r="F2779" i="1"/>
  <c r="E2779" i="1"/>
  <c r="D2779" i="1"/>
  <c r="C2779" i="1"/>
  <c r="B2779" i="1"/>
  <c r="A2779" i="1"/>
  <c r="J2778" i="1"/>
  <c r="I2778" i="1"/>
  <c r="H2778" i="1"/>
  <c r="G2778" i="1"/>
  <c r="F2778" i="1"/>
  <c r="E2778" i="1"/>
  <c r="D2778" i="1"/>
  <c r="C2778" i="1"/>
  <c r="B2778" i="1"/>
  <c r="A2778" i="1"/>
  <c r="J2777" i="1"/>
  <c r="I2777" i="1"/>
  <c r="H2777" i="1"/>
  <c r="G2777" i="1"/>
  <c r="F2777" i="1"/>
  <c r="E2777" i="1"/>
  <c r="D2777" i="1"/>
  <c r="C2777" i="1"/>
  <c r="B2777" i="1"/>
  <c r="A2777" i="1"/>
  <c r="J2776" i="1"/>
  <c r="I2776" i="1"/>
  <c r="H2776" i="1"/>
  <c r="G2776" i="1"/>
  <c r="F2776" i="1"/>
  <c r="E2776" i="1"/>
  <c r="D2776" i="1"/>
  <c r="C2776" i="1"/>
  <c r="B2776" i="1"/>
  <c r="A2776" i="1"/>
  <c r="J2775" i="1"/>
  <c r="I2775" i="1"/>
  <c r="H2775" i="1"/>
  <c r="G2775" i="1"/>
  <c r="F2775" i="1"/>
  <c r="E2775" i="1"/>
  <c r="D2775" i="1"/>
  <c r="C2775" i="1"/>
  <c r="B2775" i="1"/>
  <c r="A2775" i="1"/>
  <c r="J2774" i="1"/>
  <c r="I2774" i="1"/>
  <c r="H2774" i="1"/>
  <c r="G2774" i="1"/>
  <c r="F2774" i="1"/>
  <c r="E2774" i="1"/>
  <c r="D2774" i="1"/>
  <c r="C2774" i="1"/>
  <c r="B2774" i="1"/>
  <c r="A2774" i="1"/>
  <c r="J2773" i="1"/>
  <c r="I2773" i="1"/>
  <c r="H2773" i="1"/>
  <c r="G2773" i="1"/>
  <c r="F2773" i="1"/>
  <c r="E2773" i="1"/>
  <c r="C2773" i="1"/>
  <c r="B2773" i="1"/>
  <c r="A2773" i="1"/>
  <c r="J2772" i="1"/>
  <c r="I2772" i="1"/>
  <c r="H2772" i="1"/>
  <c r="G2772" i="1"/>
  <c r="F2772" i="1"/>
  <c r="E2772" i="1"/>
  <c r="D2772" i="1"/>
  <c r="C2772" i="1"/>
  <c r="B2772" i="1"/>
  <c r="A2772" i="1"/>
  <c r="J2771" i="1"/>
  <c r="I2771" i="1"/>
  <c r="H2771" i="1"/>
  <c r="G2771" i="1"/>
  <c r="F2771" i="1"/>
  <c r="E2771" i="1"/>
  <c r="D2771" i="1"/>
  <c r="C2771" i="1"/>
  <c r="B2771" i="1"/>
  <c r="A2771" i="1"/>
  <c r="J2770" i="1"/>
  <c r="I2770" i="1"/>
  <c r="H2770" i="1"/>
  <c r="G2770" i="1"/>
  <c r="F2770" i="1"/>
  <c r="E2770" i="1"/>
  <c r="D2770" i="1"/>
  <c r="C2770" i="1"/>
  <c r="B2770" i="1"/>
  <c r="A2770" i="1"/>
  <c r="J2769" i="1"/>
  <c r="I2769" i="1"/>
  <c r="H2769" i="1"/>
  <c r="G2769" i="1"/>
  <c r="F2769" i="1"/>
  <c r="E2769" i="1"/>
  <c r="D2769" i="1"/>
  <c r="C2769" i="1"/>
  <c r="B2769" i="1"/>
  <c r="A2769" i="1"/>
  <c r="J2768" i="1"/>
  <c r="I2768" i="1"/>
  <c r="H2768" i="1"/>
  <c r="G2768" i="1"/>
  <c r="F2768" i="1"/>
  <c r="E2768" i="1"/>
  <c r="D2768" i="1"/>
  <c r="C2768" i="1"/>
  <c r="B2768" i="1"/>
  <c r="A2768" i="1"/>
  <c r="J2767" i="1"/>
  <c r="I2767" i="1"/>
  <c r="H2767" i="1"/>
  <c r="G2767" i="1"/>
  <c r="F2767" i="1"/>
  <c r="E2767" i="1"/>
  <c r="D2767" i="1"/>
  <c r="C2767" i="1"/>
  <c r="B2767" i="1"/>
  <c r="A2767" i="1"/>
  <c r="J2766" i="1"/>
  <c r="I2766" i="1"/>
  <c r="H2766" i="1"/>
  <c r="G2766" i="1"/>
  <c r="F2766" i="1"/>
  <c r="E2766" i="1"/>
  <c r="D2766" i="1"/>
  <c r="C2766" i="1"/>
  <c r="B2766" i="1"/>
  <c r="A2766" i="1"/>
  <c r="J2765" i="1"/>
  <c r="I2765" i="1"/>
  <c r="H2765" i="1"/>
  <c r="G2765" i="1"/>
  <c r="F2765" i="1"/>
  <c r="E2765" i="1"/>
  <c r="D2765" i="1"/>
  <c r="C2765" i="1"/>
  <c r="B2765" i="1"/>
  <c r="A2765" i="1"/>
  <c r="J2764" i="1"/>
  <c r="I2764" i="1"/>
  <c r="H2764" i="1"/>
  <c r="G2764" i="1"/>
  <c r="F2764" i="1"/>
  <c r="E2764" i="1"/>
  <c r="D2764" i="1"/>
  <c r="C2764" i="1"/>
  <c r="B2764" i="1"/>
  <c r="A2764" i="1"/>
  <c r="J2763" i="1"/>
  <c r="I2763" i="1"/>
  <c r="H2763" i="1"/>
  <c r="G2763" i="1"/>
  <c r="F2763" i="1"/>
  <c r="E2763" i="1"/>
  <c r="D2763" i="1"/>
  <c r="C2763" i="1"/>
  <c r="B2763" i="1"/>
  <c r="A2763" i="1"/>
  <c r="J2762" i="1"/>
  <c r="I2762" i="1"/>
  <c r="H2762" i="1"/>
  <c r="G2762" i="1"/>
  <c r="F2762" i="1"/>
  <c r="E2762" i="1"/>
  <c r="D2762" i="1"/>
  <c r="C2762" i="1"/>
  <c r="B2762" i="1"/>
  <c r="A2762" i="1"/>
  <c r="J2761" i="1"/>
  <c r="I2761" i="1"/>
  <c r="H2761" i="1"/>
  <c r="G2761" i="1"/>
  <c r="F2761" i="1"/>
  <c r="E2761" i="1"/>
  <c r="D2761" i="1"/>
  <c r="C2761" i="1"/>
  <c r="B2761" i="1"/>
  <c r="A2761" i="1"/>
  <c r="J2760" i="1"/>
  <c r="I2760" i="1"/>
  <c r="H2760" i="1"/>
  <c r="G2760" i="1"/>
  <c r="F2760" i="1"/>
  <c r="E2760" i="1"/>
  <c r="D2760" i="1"/>
  <c r="C2760" i="1"/>
  <c r="B2760" i="1"/>
  <c r="A2760" i="1"/>
  <c r="J2759" i="1"/>
  <c r="I2759" i="1"/>
  <c r="H2759" i="1"/>
  <c r="G2759" i="1"/>
  <c r="F2759" i="1"/>
  <c r="E2759" i="1"/>
  <c r="D2759" i="1"/>
  <c r="C2759" i="1"/>
  <c r="B2759" i="1"/>
  <c r="A2759" i="1"/>
  <c r="J2758" i="1"/>
  <c r="I2758" i="1"/>
  <c r="H2758" i="1"/>
  <c r="G2758" i="1"/>
  <c r="F2758" i="1"/>
  <c r="E2758" i="1"/>
  <c r="D2758" i="1"/>
  <c r="C2758" i="1"/>
  <c r="B2758" i="1"/>
  <c r="A2758" i="1"/>
  <c r="J2757" i="1"/>
  <c r="I2757" i="1"/>
  <c r="H2757" i="1"/>
  <c r="G2757" i="1"/>
  <c r="F2757" i="1"/>
  <c r="E2757" i="1"/>
  <c r="D2757" i="1"/>
  <c r="C2757" i="1"/>
  <c r="B2757" i="1"/>
  <c r="A2757" i="1"/>
  <c r="J2756" i="1"/>
  <c r="I2756" i="1"/>
  <c r="H2756" i="1"/>
  <c r="G2756" i="1"/>
  <c r="F2756" i="1"/>
  <c r="E2756" i="1"/>
  <c r="D2756" i="1"/>
  <c r="C2756" i="1"/>
  <c r="B2756" i="1"/>
  <c r="A2756" i="1"/>
  <c r="J2755" i="1"/>
  <c r="I2755" i="1"/>
  <c r="H2755" i="1"/>
  <c r="G2755" i="1"/>
  <c r="F2755" i="1"/>
  <c r="E2755" i="1"/>
  <c r="C2755" i="1"/>
  <c r="B2755" i="1"/>
  <c r="A2755" i="1"/>
  <c r="J2754" i="1"/>
  <c r="I2754" i="1"/>
  <c r="H2754" i="1"/>
  <c r="G2754" i="1"/>
  <c r="F2754" i="1"/>
  <c r="E2754" i="1"/>
  <c r="D2754" i="1"/>
  <c r="C2754" i="1"/>
  <c r="B2754" i="1"/>
  <c r="A2754" i="1"/>
  <c r="J2753" i="1"/>
  <c r="I2753" i="1"/>
  <c r="H2753" i="1"/>
  <c r="G2753" i="1"/>
  <c r="F2753" i="1"/>
  <c r="E2753" i="1"/>
  <c r="C2753" i="1"/>
  <c r="B2753" i="1"/>
  <c r="A2753" i="1"/>
  <c r="J2752" i="1"/>
  <c r="I2752" i="1"/>
  <c r="H2752" i="1"/>
  <c r="G2752" i="1"/>
  <c r="F2752" i="1"/>
  <c r="E2752" i="1"/>
  <c r="D2752" i="1"/>
  <c r="C2752" i="1"/>
  <c r="B2752" i="1"/>
  <c r="A2752" i="1"/>
  <c r="J2751" i="1"/>
  <c r="I2751" i="1"/>
  <c r="H2751" i="1"/>
  <c r="G2751" i="1"/>
  <c r="F2751" i="1"/>
  <c r="E2751" i="1"/>
  <c r="C2751" i="1"/>
  <c r="B2751" i="1"/>
  <c r="A2751" i="1"/>
  <c r="J2750" i="1"/>
  <c r="I2750" i="1"/>
  <c r="H2750" i="1"/>
  <c r="G2750" i="1"/>
  <c r="F2750" i="1"/>
  <c r="E2750" i="1"/>
  <c r="D2750" i="1"/>
  <c r="C2750" i="1"/>
  <c r="B2750" i="1"/>
  <c r="A2750" i="1"/>
  <c r="J2749" i="1"/>
  <c r="I2749" i="1"/>
  <c r="H2749" i="1"/>
  <c r="G2749" i="1"/>
  <c r="F2749" i="1"/>
  <c r="E2749" i="1"/>
  <c r="D2749" i="1"/>
  <c r="C2749" i="1"/>
  <c r="B2749" i="1"/>
  <c r="A2749" i="1"/>
  <c r="J2748" i="1"/>
  <c r="I2748" i="1"/>
  <c r="H2748" i="1"/>
  <c r="G2748" i="1"/>
  <c r="F2748" i="1"/>
  <c r="E2748" i="1"/>
  <c r="C2748" i="1"/>
  <c r="B2748" i="1"/>
  <c r="A2748" i="1"/>
  <c r="J2747" i="1"/>
  <c r="I2747" i="1"/>
  <c r="H2747" i="1"/>
  <c r="G2747" i="1"/>
  <c r="F2747" i="1"/>
  <c r="E2747" i="1"/>
  <c r="D2747" i="1"/>
  <c r="C2747" i="1"/>
  <c r="B2747" i="1"/>
  <c r="A2747" i="1"/>
  <c r="J2746" i="1"/>
  <c r="I2746" i="1"/>
  <c r="H2746" i="1"/>
  <c r="G2746" i="1"/>
  <c r="F2746" i="1"/>
  <c r="E2746" i="1"/>
  <c r="D2746" i="1"/>
  <c r="C2746" i="1"/>
  <c r="B2746" i="1"/>
  <c r="A2746" i="1"/>
  <c r="J2745" i="1"/>
  <c r="I2745" i="1"/>
  <c r="H2745" i="1"/>
  <c r="G2745" i="1"/>
  <c r="F2745" i="1"/>
  <c r="E2745" i="1"/>
  <c r="D2745" i="1"/>
  <c r="C2745" i="1"/>
  <c r="B2745" i="1"/>
  <c r="A2745" i="1"/>
  <c r="J2744" i="1"/>
  <c r="I2744" i="1"/>
  <c r="H2744" i="1"/>
  <c r="G2744" i="1"/>
  <c r="F2744" i="1"/>
  <c r="E2744" i="1"/>
  <c r="D2744" i="1"/>
  <c r="C2744" i="1"/>
  <c r="B2744" i="1"/>
  <c r="A2744" i="1"/>
  <c r="J2743" i="1"/>
  <c r="I2743" i="1"/>
  <c r="H2743" i="1"/>
  <c r="G2743" i="1"/>
  <c r="F2743" i="1"/>
  <c r="E2743" i="1"/>
  <c r="D2743" i="1"/>
  <c r="C2743" i="1"/>
  <c r="B2743" i="1"/>
  <c r="A2743" i="1"/>
  <c r="J2742" i="1"/>
  <c r="I2742" i="1"/>
  <c r="H2742" i="1"/>
  <c r="G2742" i="1"/>
  <c r="F2742" i="1"/>
  <c r="E2742" i="1"/>
  <c r="D2742" i="1"/>
  <c r="C2742" i="1"/>
  <c r="B2742" i="1"/>
  <c r="A2742" i="1"/>
  <c r="J2741" i="1"/>
  <c r="I2741" i="1"/>
  <c r="H2741" i="1"/>
  <c r="G2741" i="1"/>
  <c r="F2741" i="1"/>
  <c r="E2741" i="1"/>
  <c r="D2741" i="1"/>
  <c r="C2741" i="1"/>
  <c r="B2741" i="1"/>
  <c r="A2741" i="1"/>
  <c r="J2740" i="1"/>
  <c r="I2740" i="1"/>
  <c r="H2740" i="1"/>
  <c r="G2740" i="1"/>
  <c r="F2740" i="1"/>
  <c r="E2740" i="1"/>
  <c r="D2740" i="1"/>
  <c r="C2740" i="1"/>
  <c r="B2740" i="1"/>
  <c r="A2740" i="1"/>
  <c r="J2739" i="1"/>
  <c r="I2739" i="1"/>
  <c r="H2739" i="1"/>
  <c r="G2739" i="1"/>
  <c r="F2739" i="1"/>
  <c r="E2739" i="1"/>
  <c r="D2739" i="1"/>
  <c r="C2739" i="1"/>
  <c r="B2739" i="1"/>
  <c r="A2739" i="1"/>
  <c r="J2738" i="1"/>
  <c r="I2738" i="1"/>
  <c r="H2738" i="1"/>
  <c r="G2738" i="1"/>
  <c r="F2738" i="1"/>
  <c r="E2738" i="1"/>
  <c r="D2738" i="1"/>
  <c r="C2738" i="1"/>
  <c r="B2738" i="1"/>
  <c r="A2738" i="1"/>
  <c r="J2737" i="1"/>
  <c r="I2737" i="1"/>
  <c r="H2737" i="1"/>
  <c r="G2737" i="1"/>
  <c r="F2737" i="1"/>
  <c r="E2737" i="1"/>
  <c r="D2737" i="1"/>
  <c r="C2737" i="1"/>
  <c r="B2737" i="1"/>
  <c r="A2737" i="1"/>
  <c r="J2736" i="1"/>
  <c r="I2736" i="1"/>
  <c r="H2736" i="1"/>
  <c r="G2736" i="1"/>
  <c r="F2736" i="1"/>
  <c r="E2736" i="1"/>
  <c r="D2736" i="1"/>
  <c r="C2736" i="1"/>
  <c r="B2736" i="1"/>
  <c r="A2736" i="1"/>
  <c r="J2735" i="1"/>
  <c r="I2735" i="1"/>
  <c r="H2735" i="1"/>
  <c r="G2735" i="1"/>
  <c r="F2735" i="1"/>
  <c r="E2735" i="1"/>
  <c r="D2735" i="1"/>
  <c r="C2735" i="1"/>
  <c r="B2735" i="1"/>
  <c r="A2735" i="1"/>
  <c r="J2734" i="1"/>
  <c r="I2734" i="1"/>
  <c r="H2734" i="1"/>
  <c r="G2734" i="1"/>
  <c r="F2734" i="1"/>
  <c r="E2734" i="1"/>
  <c r="D2734" i="1"/>
  <c r="C2734" i="1"/>
  <c r="B2734" i="1"/>
  <c r="A2734" i="1"/>
  <c r="J2733" i="1"/>
  <c r="I2733" i="1"/>
  <c r="H2733" i="1"/>
  <c r="G2733" i="1"/>
  <c r="F2733" i="1"/>
  <c r="E2733" i="1"/>
  <c r="D2733" i="1"/>
  <c r="C2733" i="1"/>
  <c r="B2733" i="1"/>
  <c r="A2733" i="1"/>
  <c r="J2732" i="1"/>
  <c r="I2732" i="1"/>
  <c r="H2732" i="1"/>
  <c r="G2732" i="1"/>
  <c r="F2732" i="1"/>
  <c r="E2732" i="1"/>
  <c r="D2732" i="1"/>
  <c r="C2732" i="1"/>
  <c r="B2732" i="1"/>
  <c r="A2732" i="1"/>
  <c r="J2731" i="1"/>
  <c r="I2731" i="1"/>
  <c r="H2731" i="1"/>
  <c r="G2731" i="1"/>
  <c r="F2731" i="1"/>
  <c r="E2731" i="1"/>
  <c r="D2731" i="1"/>
  <c r="C2731" i="1"/>
  <c r="B2731" i="1"/>
  <c r="A2731" i="1"/>
  <c r="J2730" i="1"/>
  <c r="I2730" i="1"/>
  <c r="H2730" i="1"/>
  <c r="G2730" i="1"/>
  <c r="F2730" i="1"/>
  <c r="E2730" i="1"/>
  <c r="D2730" i="1"/>
  <c r="C2730" i="1"/>
  <c r="B2730" i="1"/>
  <c r="A2730" i="1"/>
  <c r="J2729" i="1"/>
  <c r="I2729" i="1"/>
  <c r="H2729" i="1"/>
  <c r="G2729" i="1"/>
  <c r="F2729" i="1"/>
  <c r="E2729" i="1"/>
  <c r="D2729" i="1"/>
  <c r="C2729" i="1"/>
  <c r="B2729" i="1"/>
  <c r="A2729" i="1"/>
  <c r="J2728" i="1"/>
  <c r="I2728" i="1"/>
  <c r="H2728" i="1"/>
  <c r="G2728" i="1"/>
  <c r="F2728" i="1"/>
  <c r="E2728" i="1"/>
  <c r="D2728" i="1"/>
  <c r="C2728" i="1"/>
  <c r="B2728" i="1"/>
  <c r="A2728" i="1"/>
  <c r="J2727" i="1"/>
  <c r="I2727" i="1"/>
  <c r="H2727" i="1"/>
  <c r="G2727" i="1"/>
  <c r="F2727" i="1"/>
  <c r="E2727" i="1"/>
  <c r="D2727" i="1"/>
  <c r="C2727" i="1"/>
  <c r="B2727" i="1"/>
  <c r="A2727" i="1"/>
  <c r="J2726" i="1"/>
  <c r="I2726" i="1"/>
  <c r="H2726" i="1"/>
  <c r="G2726" i="1"/>
  <c r="F2726" i="1"/>
  <c r="E2726" i="1"/>
  <c r="D2726" i="1"/>
  <c r="C2726" i="1"/>
  <c r="B2726" i="1"/>
  <c r="A2726" i="1"/>
  <c r="J2725" i="1"/>
  <c r="I2725" i="1"/>
  <c r="H2725" i="1"/>
  <c r="G2725" i="1"/>
  <c r="F2725" i="1"/>
  <c r="E2725" i="1"/>
  <c r="D2725" i="1"/>
  <c r="C2725" i="1"/>
  <c r="B2725" i="1"/>
  <c r="A2725" i="1"/>
  <c r="J2724" i="1"/>
  <c r="I2724" i="1"/>
  <c r="H2724" i="1"/>
  <c r="G2724" i="1"/>
  <c r="F2724" i="1"/>
  <c r="E2724" i="1"/>
  <c r="D2724" i="1"/>
  <c r="C2724" i="1"/>
  <c r="B2724" i="1"/>
  <c r="A2724" i="1"/>
  <c r="J2723" i="1"/>
  <c r="I2723" i="1"/>
  <c r="H2723" i="1"/>
  <c r="G2723" i="1"/>
  <c r="F2723" i="1"/>
  <c r="E2723" i="1"/>
  <c r="D2723" i="1"/>
  <c r="C2723" i="1"/>
  <c r="B2723" i="1"/>
  <c r="A2723" i="1"/>
  <c r="J2722" i="1"/>
  <c r="I2722" i="1"/>
  <c r="H2722" i="1"/>
  <c r="G2722" i="1"/>
  <c r="F2722" i="1"/>
  <c r="E2722" i="1"/>
  <c r="D2722" i="1"/>
  <c r="C2722" i="1"/>
  <c r="B2722" i="1"/>
  <c r="A2722" i="1"/>
  <c r="J2721" i="1"/>
  <c r="I2721" i="1"/>
  <c r="H2721" i="1"/>
  <c r="G2721" i="1"/>
  <c r="F2721" i="1"/>
  <c r="E2721" i="1"/>
  <c r="D2721" i="1"/>
  <c r="C2721" i="1"/>
  <c r="B2721" i="1"/>
  <c r="A2721" i="1"/>
  <c r="J2720" i="1"/>
  <c r="I2720" i="1"/>
  <c r="H2720" i="1"/>
  <c r="G2720" i="1"/>
  <c r="F2720" i="1"/>
  <c r="E2720" i="1"/>
  <c r="D2720" i="1"/>
  <c r="C2720" i="1"/>
  <c r="B2720" i="1"/>
  <c r="A2720" i="1"/>
  <c r="J2719" i="1"/>
  <c r="I2719" i="1"/>
  <c r="H2719" i="1"/>
  <c r="G2719" i="1"/>
  <c r="F2719" i="1"/>
  <c r="E2719" i="1"/>
  <c r="D2719" i="1"/>
  <c r="C2719" i="1"/>
  <c r="B2719" i="1"/>
  <c r="A2719" i="1"/>
  <c r="J2718" i="1"/>
  <c r="I2718" i="1"/>
  <c r="H2718" i="1"/>
  <c r="G2718" i="1"/>
  <c r="F2718" i="1"/>
  <c r="E2718" i="1"/>
  <c r="D2718" i="1"/>
  <c r="C2718" i="1"/>
  <c r="B2718" i="1"/>
  <c r="A2718" i="1"/>
  <c r="J2717" i="1"/>
  <c r="I2717" i="1"/>
  <c r="H2717" i="1"/>
  <c r="G2717" i="1"/>
  <c r="F2717" i="1"/>
  <c r="E2717" i="1"/>
  <c r="D2717" i="1"/>
  <c r="C2717" i="1"/>
  <c r="B2717" i="1"/>
  <c r="A2717" i="1"/>
  <c r="J2716" i="1"/>
  <c r="I2716" i="1"/>
  <c r="H2716" i="1"/>
  <c r="G2716" i="1"/>
  <c r="F2716" i="1"/>
  <c r="E2716" i="1"/>
  <c r="D2716" i="1"/>
  <c r="C2716" i="1"/>
  <c r="B2716" i="1"/>
  <c r="A2716" i="1"/>
  <c r="J2715" i="1"/>
  <c r="I2715" i="1"/>
  <c r="H2715" i="1"/>
  <c r="G2715" i="1"/>
  <c r="F2715" i="1"/>
  <c r="E2715" i="1"/>
  <c r="D2715" i="1"/>
  <c r="C2715" i="1"/>
  <c r="B2715" i="1"/>
  <c r="A2715" i="1"/>
  <c r="J2714" i="1"/>
  <c r="I2714" i="1"/>
  <c r="H2714" i="1"/>
  <c r="G2714" i="1"/>
  <c r="F2714" i="1"/>
  <c r="E2714" i="1"/>
  <c r="D2714" i="1"/>
  <c r="C2714" i="1"/>
  <c r="B2714" i="1"/>
  <c r="A2714" i="1"/>
  <c r="J2713" i="1"/>
  <c r="I2713" i="1"/>
  <c r="H2713" i="1"/>
  <c r="G2713" i="1"/>
  <c r="F2713" i="1"/>
  <c r="E2713" i="1"/>
  <c r="D2713" i="1"/>
  <c r="C2713" i="1"/>
  <c r="B2713" i="1"/>
  <c r="A2713" i="1"/>
  <c r="J2712" i="1"/>
  <c r="I2712" i="1"/>
  <c r="H2712" i="1"/>
  <c r="G2712" i="1"/>
  <c r="F2712" i="1"/>
  <c r="E2712" i="1"/>
  <c r="C2712" i="1"/>
  <c r="B2712" i="1"/>
  <c r="A2712" i="1"/>
  <c r="J2711" i="1"/>
  <c r="I2711" i="1"/>
  <c r="H2711" i="1"/>
  <c r="G2711" i="1"/>
  <c r="F2711" i="1"/>
  <c r="E2711" i="1"/>
  <c r="D2711" i="1"/>
  <c r="C2711" i="1"/>
  <c r="B2711" i="1"/>
  <c r="A2711" i="1"/>
  <c r="J2710" i="1"/>
  <c r="I2710" i="1"/>
  <c r="H2710" i="1"/>
  <c r="G2710" i="1"/>
  <c r="F2710" i="1"/>
  <c r="E2710" i="1"/>
  <c r="D2710" i="1"/>
  <c r="C2710" i="1"/>
  <c r="B2710" i="1"/>
  <c r="A2710" i="1"/>
  <c r="J2709" i="1"/>
  <c r="I2709" i="1"/>
  <c r="H2709" i="1"/>
  <c r="G2709" i="1"/>
  <c r="F2709" i="1"/>
  <c r="E2709" i="1"/>
  <c r="D2709" i="1"/>
  <c r="C2709" i="1"/>
  <c r="B2709" i="1"/>
  <c r="A2709" i="1"/>
  <c r="J2708" i="1"/>
  <c r="I2708" i="1"/>
  <c r="H2708" i="1"/>
  <c r="G2708" i="1"/>
  <c r="F2708" i="1"/>
  <c r="E2708" i="1"/>
  <c r="D2708" i="1"/>
  <c r="C2708" i="1"/>
  <c r="B2708" i="1"/>
  <c r="A2708" i="1"/>
  <c r="J2707" i="1"/>
  <c r="I2707" i="1"/>
  <c r="H2707" i="1"/>
  <c r="G2707" i="1"/>
  <c r="F2707" i="1"/>
  <c r="E2707" i="1"/>
  <c r="D2707" i="1"/>
  <c r="C2707" i="1"/>
  <c r="B2707" i="1"/>
  <c r="A2707" i="1"/>
  <c r="J2706" i="1"/>
  <c r="I2706" i="1"/>
  <c r="H2706" i="1"/>
  <c r="G2706" i="1"/>
  <c r="F2706" i="1"/>
  <c r="E2706" i="1"/>
  <c r="D2706" i="1"/>
  <c r="C2706" i="1"/>
  <c r="B2706" i="1"/>
  <c r="A2706" i="1"/>
  <c r="J2705" i="1"/>
  <c r="I2705" i="1"/>
  <c r="H2705" i="1"/>
  <c r="G2705" i="1"/>
  <c r="F2705" i="1"/>
  <c r="E2705" i="1"/>
  <c r="D2705" i="1"/>
  <c r="C2705" i="1"/>
  <c r="B2705" i="1"/>
  <c r="A2705" i="1"/>
  <c r="J2704" i="1"/>
  <c r="I2704" i="1"/>
  <c r="H2704" i="1"/>
  <c r="G2704" i="1"/>
  <c r="F2704" i="1"/>
  <c r="E2704" i="1"/>
  <c r="D2704" i="1"/>
  <c r="C2704" i="1"/>
  <c r="B2704" i="1"/>
  <c r="A2704" i="1"/>
  <c r="J2703" i="1"/>
  <c r="I2703" i="1"/>
  <c r="H2703" i="1"/>
  <c r="G2703" i="1"/>
  <c r="F2703" i="1"/>
  <c r="E2703" i="1"/>
  <c r="D2703" i="1"/>
  <c r="C2703" i="1"/>
  <c r="B2703" i="1"/>
  <c r="A2703" i="1"/>
  <c r="J2702" i="1"/>
  <c r="I2702" i="1"/>
  <c r="H2702" i="1"/>
  <c r="G2702" i="1"/>
  <c r="F2702" i="1"/>
  <c r="E2702" i="1"/>
  <c r="D2702" i="1"/>
  <c r="C2702" i="1"/>
  <c r="B2702" i="1"/>
  <c r="A2702" i="1"/>
  <c r="J2701" i="1"/>
  <c r="I2701" i="1"/>
  <c r="H2701" i="1"/>
  <c r="G2701" i="1"/>
  <c r="F2701" i="1"/>
  <c r="E2701" i="1"/>
  <c r="D2701" i="1"/>
  <c r="C2701" i="1"/>
  <c r="B2701" i="1"/>
  <c r="A2701" i="1"/>
  <c r="J2700" i="1"/>
  <c r="I2700" i="1"/>
  <c r="H2700" i="1"/>
  <c r="G2700" i="1"/>
  <c r="F2700" i="1"/>
  <c r="E2700" i="1"/>
  <c r="D2700" i="1"/>
  <c r="C2700" i="1"/>
  <c r="B2700" i="1"/>
  <c r="A2700" i="1"/>
  <c r="J2699" i="1"/>
  <c r="I2699" i="1"/>
  <c r="H2699" i="1"/>
  <c r="G2699" i="1"/>
  <c r="F2699" i="1"/>
  <c r="E2699" i="1"/>
  <c r="D2699" i="1"/>
  <c r="C2699" i="1"/>
  <c r="B2699" i="1"/>
  <c r="A2699" i="1"/>
  <c r="J2698" i="1"/>
  <c r="I2698" i="1"/>
  <c r="H2698" i="1"/>
  <c r="G2698" i="1"/>
  <c r="F2698" i="1"/>
  <c r="E2698" i="1"/>
  <c r="D2698" i="1"/>
  <c r="C2698" i="1"/>
  <c r="B2698" i="1"/>
  <c r="A2698" i="1"/>
  <c r="J2697" i="1"/>
  <c r="I2697" i="1"/>
  <c r="H2697" i="1"/>
  <c r="G2697" i="1"/>
  <c r="F2697" i="1"/>
  <c r="E2697" i="1"/>
  <c r="D2697" i="1"/>
  <c r="C2697" i="1"/>
  <c r="B2697" i="1"/>
  <c r="A2697" i="1"/>
  <c r="J2696" i="1"/>
  <c r="I2696" i="1"/>
  <c r="H2696" i="1"/>
  <c r="G2696" i="1"/>
  <c r="F2696" i="1"/>
  <c r="E2696" i="1"/>
  <c r="C2696" i="1"/>
  <c r="B2696" i="1"/>
  <c r="A2696" i="1"/>
  <c r="J2695" i="1"/>
  <c r="I2695" i="1"/>
  <c r="H2695" i="1"/>
  <c r="G2695" i="1"/>
  <c r="F2695" i="1"/>
  <c r="E2695" i="1"/>
  <c r="D2695" i="1"/>
  <c r="C2695" i="1"/>
  <c r="B2695" i="1"/>
  <c r="A2695" i="1"/>
  <c r="J2694" i="1"/>
  <c r="I2694" i="1"/>
  <c r="H2694" i="1"/>
  <c r="G2694" i="1"/>
  <c r="F2694" i="1"/>
  <c r="E2694" i="1"/>
  <c r="D2694" i="1"/>
  <c r="C2694" i="1"/>
  <c r="B2694" i="1"/>
  <c r="A2694" i="1"/>
  <c r="J2693" i="1"/>
  <c r="I2693" i="1"/>
  <c r="H2693" i="1"/>
  <c r="G2693" i="1"/>
  <c r="F2693" i="1"/>
  <c r="E2693" i="1"/>
  <c r="D2693" i="1"/>
  <c r="C2693" i="1"/>
  <c r="B2693" i="1"/>
  <c r="A2693" i="1"/>
  <c r="J2692" i="1"/>
  <c r="I2692" i="1"/>
  <c r="H2692" i="1"/>
  <c r="G2692" i="1"/>
  <c r="F2692" i="1"/>
  <c r="E2692" i="1"/>
  <c r="D2692" i="1"/>
  <c r="C2692" i="1"/>
  <c r="B2692" i="1"/>
  <c r="A2692" i="1"/>
  <c r="J2691" i="1"/>
  <c r="I2691" i="1"/>
  <c r="H2691" i="1"/>
  <c r="G2691" i="1"/>
  <c r="F2691" i="1"/>
  <c r="E2691" i="1"/>
  <c r="D2691" i="1"/>
  <c r="C2691" i="1"/>
  <c r="B2691" i="1"/>
  <c r="A2691" i="1"/>
  <c r="J2690" i="1"/>
  <c r="I2690" i="1"/>
  <c r="H2690" i="1"/>
  <c r="G2690" i="1"/>
  <c r="F2690" i="1"/>
  <c r="E2690" i="1"/>
  <c r="D2690" i="1"/>
  <c r="C2690" i="1"/>
  <c r="B2690" i="1"/>
  <c r="A2690" i="1"/>
  <c r="J2689" i="1"/>
  <c r="I2689" i="1"/>
  <c r="H2689" i="1"/>
  <c r="G2689" i="1"/>
  <c r="F2689" i="1"/>
  <c r="E2689" i="1"/>
  <c r="D2689" i="1"/>
  <c r="C2689" i="1"/>
  <c r="B2689" i="1"/>
  <c r="A2689" i="1"/>
  <c r="J2688" i="1"/>
  <c r="I2688" i="1"/>
  <c r="H2688" i="1"/>
  <c r="G2688" i="1"/>
  <c r="F2688" i="1"/>
  <c r="E2688" i="1"/>
  <c r="D2688" i="1"/>
  <c r="C2688" i="1"/>
  <c r="B2688" i="1"/>
  <c r="A2688" i="1"/>
  <c r="J2687" i="1"/>
  <c r="I2687" i="1"/>
  <c r="H2687" i="1"/>
  <c r="G2687" i="1"/>
  <c r="F2687" i="1"/>
  <c r="E2687" i="1"/>
  <c r="D2687" i="1"/>
  <c r="C2687" i="1"/>
  <c r="B2687" i="1"/>
  <c r="A2687" i="1"/>
  <c r="J2686" i="1"/>
  <c r="I2686" i="1"/>
  <c r="H2686" i="1"/>
  <c r="G2686" i="1"/>
  <c r="F2686" i="1"/>
  <c r="E2686" i="1"/>
  <c r="D2686" i="1"/>
  <c r="C2686" i="1"/>
  <c r="B2686" i="1"/>
  <c r="A2686" i="1"/>
  <c r="J2685" i="1"/>
  <c r="I2685" i="1"/>
  <c r="H2685" i="1"/>
  <c r="G2685" i="1"/>
  <c r="F2685" i="1"/>
  <c r="E2685" i="1"/>
  <c r="D2685" i="1"/>
  <c r="C2685" i="1"/>
  <c r="B2685" i="1"/>
  <c r="A2685" i="1"/>
  <c r="J2684" i="1"/>
  <c r="I2684" i="1"/>
  <c r="H2684" i="1"/>
  <c r="G2684" i="1"/>
  <c r="F2684" i="1"/>
  <c r="E2684" i="1"/>
  <c r="D2684" i="1"/>
  <c r="C2684" i="1"/>
  <c r="B2684" i="1"/>
  <c r="A2684" i="1"/>
  <c r="J2683" i="1"/>
  <c r="I2683" i="1"/>
  <c r="H2683" i="1"/>
  <c r="G2683" i="1"/>
  <c r="F2683" i="1"/>
  <c r="E2683" i="1"/>
  <c r="D2683" i="1"/>
  <c r="C2683" i="1"/>
  <c r="B2683" i="1"/>
  <c r="A2683" i="1"/>
  <c r="J2682" i="1"/>
  <c r="I2682" i="1"/>
  <c r="H2682" i="1"/>
  <c r="G2682" i="1"/>
  <c r="F2682" i="1"/>
  <c r="E2682" i="1"/>
  <c r="D2682" i="1"/>
  <c r="C2682" i="1"/>
  <c r="B2682" i="1"/>
  <c r="A2682" i="1"/>
  <c r="J2681" i="1"/>
  <c r="I2681" i="1"/>
  <c r="H2681" i="1"/>
  <c r="G2681" i="1"/>
  <c r="F2681" i="1"/>
  <c r="E2681" i="1"/>
  <c r="D2681" i="1"/>
  <c r="C2681" i="1"/>
  <c r="B2681" i="1"/>
  <c r="A2681" i="1"/>
  <c r="J2680" i="1"/>
  <c r="I2680" i="1"/>
  <c r="H2680" i="1"/>
  <c r="G2680" i="1"/>
  <c r="F2680" i="1"/>
  <c r="E2680" i="1"/>
  <c r="C2680" i="1"/>
  <c r="B2680" i="1"/>
  <c r="A2680" i="1"/>
  <c r="J2679" i="1"/>
  <c r="I2679" i="1"/>
  <c r="H2679" i="1"/>
  <c r="G2679" i="1"/>
  <c r="F2679" i="1"/>
  <c r="E2679" i="1"/>
  <c r="D2679" i="1"/>
  <c r="C2679" i="1"/>
  <c r="B2679" i="1"/>
  <c r="A2679" i="1"/>
  <c r="J2678" i="1"/>
  <c r="I2678" i="1"/>
  <c r="H2678" i="1"/>
  <c r="G2678" i="1"/>
  <c r="F2678" i="1"/>
  <c r="E2678" i="1"/>
  <c r="D2678" i="1"/>
  <c r="C2678" i="1"/>
  <c r="B2678" i="1"/>
  <c r="A2678" i="1"/>
  <c r="J2677" i="1"/>
  <c r="I2677" i="1"/>
  <c r="H2677" i="1"/>
  <c r="G2677" i="1"/>
  <c r="F2677" i="1"/>
  <c r="E2677" i="1"/>
  <c r="D2677" i="1"/>
  <c r="C2677" i="1"/>
  <c r="B2677" i="1"/>
  <c r="A2677" i="1"/>
  <c r="J2676" i="1"/>
  <c r="I2676" i="1"/>
  <c r="H2676" i="1"/>
  <c r="G2676" i="1"/>
  <c r="F2676" i="1"/>
  <c r="E2676" i="1"/>
  <c r="D2676" i="1"/>
  <c r="C2676" i="1"/>
  <c r="B2676" i="1"/>
  <c r="A2676" i="1"/>
  <c r="J2675" i="1"/>
  <c r="I2675" i="1"/>
  <c r="H2675" i="1"/>
  <c r="G2675" i="1"/>
  <c r="F2675" i="1"/>
  <c r="E2675" i="1"/>
  <c r="D2675" i="1"/>
  <c r="C2675" i="1"/>
  <c r="B2675" i="1"/>
  <c r="A2675" i="1"/>
  <c r="J2674" i="1"/>
  <c r="I2674" i="1"/>
  <c r="H2674" i="1"/>
  <c r="G2674" i="1"/>
  <c r="F2674" i="1"/>
  <c r="E2674" i="1"/>
  <c r="C2674" i="1"/>
  <c r="B2674" i="1"/>
  <c r="A2674" i="1"/>
  <c r="J2673" i="1"/>
  <c r="I2673" i="1"/>
  <c r="H2673" i="1"/>
  <c r="G2673" i="1"/>
  <c r="F2673" i="1"/>
  <c r="E2673" i="1"/>
  <c r="D2673" i="1"/>
  <c r="C2673" i="1"/>
  <c r="B2673" i="1"/>
  <c r="A2673" i="1"/>
  <c r="J2672" i="1"/>
  <c r="I2672" i="1"/>
  <c r="H2672" i="1"/>
  <c r="G2672" i="1"/>
  <c r="F2672" i="1"/>
  <c r="E2672" i="1"/>
  <c r="D2672" i="1"/>
  <c r="C2672" i="1"/>
  <c r="B2672" i="1"/>
  <c r="A2672" i="1"/>
  <c r="J2671" i="1"/>
  <c r="I2671" i="1"/>
  <c r="H2671" i="1"/>
  <c r="G2671" i="1"/>
  <c r="F2671" i="1"/>
  <c r="E2671" i="1"/>
  <c r="D2671" i="1"/>
  <c r="C2671" i="1"/>
  <c r="B2671" i="1"/>
  <c r="A2671" i="1"/>
  <c r="J2670" i="1"/>
  <c r="I2670" i="1"/>
  <c r="H2670" i="1"/>
  <c r="G2670" i="1"/>
  <c r="F2670" i="1"/>
  <c r="E2670" i="1"/>
  <c r="D2670" i="1"/>
  <c r="C2670" i="1"/>
  <c r="B2670" i="1"/>
  <c r="A2670" i="1"/>
  <c r="J2669" i="1"/>
  <c r="I2669" i="1"/>
  <c r="H2669" i="1"/>
  <c r="G2669" i="1"/>
  <c r="F2669" i="1"/>
  <c r="E2669" i="1"/>
  <c r="D2669" i="1"/>
  <c r="C2669" i="1"/>
  <c r="B2669" i="1"/>
  <c r="A2669" i="1"/>
  <c r="J2668" i="1"/>
  <c r="I2668" i="1"/>
  <c r="H2668" i="1"/>
  <c r="G2668" i="1"/>
  <c r="F2668" i="1"/>
  <c r="E2668" i="1"/>
  <c r="D2668" i="1"/>
  <c r="C2668" i="1"/>
  <c r="B2668" i="1"/>
  <c r="A2668" i="1"/>
  <c r="J2667" i="1"/>
  <c r="I2667" i="1"/>
  <c r="H2667" i="1"/>
  <c r="G2667" i="1"/>
  <c r="F2667" i="1"/>
  <c r="E2667" i="1"/>
  <c r="D2667" i="1"/>
  <c r="C2667" i="1"/>
  <c r="B2667" i="1"/>
  <c r="A2667" i="1"/>
  <c r="J2666" i="1"/>
  <c r="I2666" i="1"/>
  <c r="H2666" i="1"/>
  <c r="G2666" i="1"/>
  <c r="F2666" i="1"/>
  <c r="E2666" i="1"/>
  <c r="D2666" i="1"/>
  <c r="C2666" i="1"/>
  <c r="B2666" i="1"/>
  <c r="A2666" i="1"/>
  <c r="J2665" i="1"/>
  <c r="I2665" i="1"/>
  <c r="H2665" i="1"/>
  <c r="G2665" i="1"/>
  <c r="F2665" i="1"/>
  <c r="E2665" i="1"/>
  <c r="D2665" i="1"/>
  <c r="C2665" i="1"/>
  <c r="B2665" i="1"/>
  <c r="A2665" i="1"/>
  <c r="J2664" i="1"/>
  <c r="I2664" i="1"/>
  <c r="H2664" i="1"/>
  <c r="G2664" i="1"/>
  <c r="F2664" i="1"/>
  <c r="E2664" i="1"/>
  <c r="D2664" i="1"/>
  <c r="C2664" i="1"/>
  <c r="B2664" i="1"/>
  <c r="A2664" i="1"/>
  <c r="J2663" i="1"/>
  <c r="I2663" i="1"/>
  <c r="H2663" i="1"/>
  <c r="G2663" i="1"/>
  <c r="F2663" i="1"/>
  <c r="E2663" i="1"/>
  <c r="D2663" i="1"/>
  <c r="C2663" i="1"/>
  <c r="B2663" i="1"/>
  <c r="A2663" i="1"/>
  <c r="J2662" i="1"/>
  <c r="I2662" i="1"/>
  <c r="H2662" i="1"/>
  <c r="G2662" i="1"/>
  <c r="F2662" i="1"/>
  <c r="E2662" i="1"/>
  <c r="D2662" i="1"/>
  <c r="C2662" i="1"/>
  <c r="B2662" i="1"/>
  <c r="A2662" i="1"/>
  <c r="J2661" i="1"/>
  <c r="I2661" i="1"/>
  <c r="H2661" i="1"/>
  <c r="G2661" i="1"/>
  <c r="F2661" i="1"/>
  <c r="E2661" i="1"/>
  <c r="D2661" i="1"/>
  <c r="C2661" i="1"/>
  <c r="B2661" i="1"/>
  <c r="A2661" i="1"/>
  <c r="J2660" i="1"/>
  <c r="I2660" i="1"/>
  <c r="H2660" i="1"/>
  <c r="G2660" i="1"/>
  <c r="F2660" i="1"/>
  <c r="E2660" i="1"/>
  <c r="D2660" i="1"/>
  <c r="C2660" i="1"/>
  <c r="B2660" i="1"/>
  <c r="A2660" i="1"/>
  <c r="J2659" i="1"/>
  <c r="I2659" i="1"/>
  <c r="H2659" i="1"/>
  <c r="G2659" i="1"/>
  <c r="F2659" i="1"/>
  <c r="E2659" i="1"/>
  <c r="D2659" i="1"/>
  <c r="C2659" i="1"/>
  <c r="B2659" i="1"/>
  <c r="A2659" i="1"/>
  <c r="J2658" i="1"/>
  <c r="I2658" i="1"/>
  <c r="H2658" i="1"/>
  <c r="G2658" i="1"/>
  <c r="F2658" i="1"/>
  <c r="E2658" i="1"/>
  <c r="D2658" i="1"/>
  <c r="C2658" i="1"/>
  <c r="B2658" i="1"/>
  <c r="A2658" i="1"/>
  <c r="J2657" i="1"/>
  <c r="I2657" i="1"/>
  <c r="H2657" i="1"/>
  <c r="G2657" i="1"/>
  <c r="F2657" i="1"/>
  <c r="E2657" i="1"/>
  <c r="D2657" i="1"/>
  <c r="C2657" i="1"/>
  <c r="B2657" i="1"/>
  <c r="A2657" i="1"/>
  <c r="J2656" i="1"/>
  <c r="I2656" i="1"/>
  <c r="H2656" i="1"/>
  <c r="G2656" i="1"/>
  <c r="F2656" i="1"/>
  <c r="E2656" i="1"/>
  <c r="D2656" i="1"/>
  <c r="C2656" i="1"/>
  <c r="B2656" i="1"/>
  <c r="A2656" i="1"/>
  <c r="J2655" i="1"/>
  <c r="I2655" i="1"/>
  <c r="H2655" i="1"/>
  <c r="G2655" i="1"/>
  <c r="F2655" i="1"/>
  <c r="E2655" i="1"/>
  <c r="D2655" i="1"/>
  <c r="C2655" i="1"/>
  <c r="B2655" i="1"/>
  <c r="A2655" i="1"/>
  <c r="J2654" i="1"/>
  <c r="I2654" i="1"/>
  <c r="H2654" i="1"/>
  <c r="G2654" i="1"/>
  <c r="F2654" i="1"/>
  <c r="E2654" i="1"/>
  <c r="D2654" i="1"/>
  <c r="C2654" i="1"/>
  <c r="B2654" i="1"/>
  <c r="A2654" i="1"/>
  <c r="J2653" i="1"/>
  <c r="I2653" i="1"/>
  <c r="H2653" i="1"/>
  <c r="G2653" i="1"/>
  <c r="F2653" i="1"/>
  <c r="E2653" i="1"/>
  <c r="D2653" i="1"/>
  <c r="C2653" i="1"/>
  <c r="B2653" i="1"/>
  <c r="A2653" i="1"/>
  <c r="J2652" i="1"/>
  <c r="I2652" i="1"/>
  <c r="H2652" i="1"/>
  <c r="G2652" i="1"/>
  <c r="F2652" i="1"/>
  <c r="E2652" i="1"/>
  <c r="D2652" i="1"/>
  <c r="C2652" i="1"/>
  <c r="B2652" i="1"/>
  <c r="A2652" i="1"/>
  <c r="J2651" i="1"/>
  <c r="I2651" i="1"/>
  <c r="H2651" i="1"/>
  <c r="G2651" i="1"/>
  <c r="F2651" i="1"/>
  <c r="E2651" i="1"/>
  <c r="D2651" i="1"/>
  <c r="C2651" i="1"/>
  <c r="B2651" i="1"/>
  <c r="A2651" i="1"/>
  <c r="J2650" i="1"/>
  <c r="I2650" i="1"/>
  <c r="H2650" i="1"/>
  <c r="G2650" i="1"/>
  <c r="F2650" i="1"/>
  <c r="E2650" i="1"/>
  <c r="D2650" i="1"/>
  <c r="C2650" i="1"/>
  <c r="B2650" i="1"/>
  <c r="A2650" i="1"/>
  <c r="J2649" i="1"/>
  <c r="I2649" i="1"/>
  <c r="H2649" i="1"/>
  <c r="G2649" i="1"/>
  <c r="F2649" i="1"/>
  <c r="E2649" i="1"/>
  <c r="D2649" i="1"/>
  <c r="C2649" i="1"/>
  <c r="B2649" i="1"/>
  <c r="A2649" i="1"/>
  <c r="J2648" i="1"/>
  <c r="I2648" i="1"/>
  <c r="H2648" i="1"/>
  <c r="G2648" i="1"/>
  <c r="F2648" i="1"/>
  <c r="E2648" i="1"/>
  <c r="D2648" i="1"/>
  <c r="C2648" i="1"/>
  <c r="B2648" i="1"/>
  <c r="A2648" i="1"/>
  <c r="J2647" i="1"/>
  <c r="I2647" i="1"/>
  <c r="H2647" i="1"/>
  <c r="G2647" i="1"/>
  <c r="F2647" i="1"/>
  <c r="E2647" i="1"/>
  <c r="D2647" i="1"/>
  <c r="C2647" i="1"/>
  <c r="B2647" i="1"/>
  <c r="A2647" i="1"/>
  <c r="J2646" i="1"/>
  <c r="I2646" i="1"/>
  <c r="H2646" i="1"/>
  <c r="G2646" i="1"/>
  <c r="F2646" i="1"/>
  <c r="E2646" i="1"/>
  <c r="D2646" i="1"/>
  <c r="C2646" i="1"/>
  <c r="B2646" i="1"/>
  <c r="A2646" i="1"/>
  <c r="J2645" i="1"/>
  <c r="I2645" i="1"/>
  <c r="H2645" i="1"/>
  <c r="G2645" i="1"/>
  <c r="F2645" i="1"/>
  <c r="E2645" i="1"/>
  <c r="C2645" i="1"/>
  <c r="B2645" i="1"/>
  <c r="A2645" i="1"/>
  <c r="J2644" i="1"/>
  <c r="I2644" i="1"/>
  <c r="H2644" i="1"/>
  <c r="G2644" i="1"/>
  <c r="F2644" i="1"/>
  <c r="E2644" i="1"/>
  <c r="D2644" i="1"/>
  <c r="C2644" i="1"/>
  <c r="B2644" i="1"/>
  <c r="A2644" i="1"/>
  <c r="J2643" i="1"/>
  <c r="I2643" i="1"/>
  <c r="H2643" i="1"/>
  <c r="G2643" i="1"/>
  <c r="F2643" i="1"/>
  <c r="E2643" i="1"/>
  <c r="D2643" i="1"/>
  <c r="C2643" i="1"/>
  <c r="B2643" i="1"/>
  <c r="A2643" i="1"/>
  <c r="J2642" i="1"/>
  <c r="I2642" i="1"/>
  <c r="H2642" i="1"/>
  <c r="G2642" i="1"/>
  <c r="F2642" i="1"/>
  <c r="E2642" i="1"/>
  <c r="D2642" i="1"/>
  <c r="C2642" i="1"/>
  <c r="B2642" i="1"/>
  <c r="A2642" i="1"/>
  <c r="J2641" i="1"/>
  <c r="I2641" i="1"/>
  <c r="H2641" i="1"/>
  <c r="G2641" i="1"/>
  <c r="F2641" i="1"/>
  <c r="E2641" i="1"/>
  <c r="D2641" i="1"/>
  <c r="C2641" i="1"/>
  <c r="B2641" i="1"/>
  <c r="A2641" i="1"/>
  <c r="J2640" i="1"/>
  <c r="I2640" i="1"/>
  <c r="H2640" i="1"/>
  <c r="G2640" i="1"/>
  <c r="F2640" i="1"/>
  <c r="E2640" i="1"/>
  <c r="D2640" i="1"/>
  <c r="C2640" i="1"/>
  <c r="B2640" i="1"/>
  <c r="A2640" i="1"/>
  <c r="J2639" i="1"/>
  <c r="I2639" i="1"/>
  <c r="H2639" i="1"/>
  <c r="G2639" i="1"/>
  <c r="F2639" i="1"/>
  <c r="E2639" i="1"/>
  <c r="D2639" i="1"/>
  <c r="C2639" i="1"/>
  <c r="B2639" i="1"/>
  <c r="A2639" i="1"/>
  <c r="J2638" i="1"/>
  <c r="I2638" i="1"/>
  <c r="H2638" i="1"/>
  <c r="G2638" i="1"/>
  <c r="F2638" i="1"/>
  <c r="E2638" i="1"/>
  <c r="D2638" i="1"/>
  <c r="C2638" i="1"/>
  <c r="B2638" i="1"/>
  <c r="A2638" i="1"/>
  <c r="J2637" i="1"/>
  <c r="I2637" i="1"/>
  <c r="H2637" i="1"/>
  <c r="G2637" i="1"/>
  <c r="F2637" i="1"/>
  <c r="E2637" i="1"/>
  <c r="D2637" i="1"/>
  <c r="C2637" i="1"/>
  <c r="B2637" i="1"/>
  <c r="A2637" i="1"/>
  <c r="J2636" i="1"/>
  <c r="I2636" i="1"/>
  <c r="H2636" i="1"/>
  <c r="G2636" i="1"/>
  <c r="F2636" i="1"/>
  <c r="E2636" i="1"/>
  <c r="D2636" i="1"/>
  <c r="C2636" i="1"/>
  <c r="B2636" i="1"/>
  <c r="A2636" i="1"/>
  <c r="J2635" i="1"/>
  <c r="I2635" i="1"/>
  <c r="H2635" i="1"/>
  <c r="G2635" i="1"/>
  <c r="F2635" i="1"/>
  <c r="E2635" i="1"/>
  <c r="D2635" i="1"/>
  <c r="C2635" i="1"/>
  <c r="B2635" i="1"/>
  <c r="A2635" i="1"/>
  <c r="J2634" i="1"/>
  <c r="I2634" i="1"/>
  <c r="H2634" i="1"/>
  <c r="G2634" i="1"/>
  <c r="F2634" i="1"/>
  <c r="E2634" i="1"/>
  <c r="D2634" i="1"/>
  <c r="C2634" i="1"/>
  <c r="B2634" i="1"/>
  <c r="A2634" i="1"/>
  <c r="J2633" i="1"/>
  <c r="I2633" i="1"/>
  <c r="H2633" i="1"/>
  <c r="G2633" i="1"/>
  <c r="F2633" i="1"/>
  <c r="E2633" i="1"/>
  <c r="D2633" i="1"/>
  <c r="C2633" i="1"/>
  <c r="B2633" i="1"/>
  <c r="A2633" i="1"/>
  <c r="J2632" i="1"/>
  <c r="I2632" i="1"/>
  <c r="H2632" i="1"/>
  <c r="G2632" i="1"/>
  <c r="F2632" i="1"/>
  <c r="E2632" i="1"/>
  <c r="D2632" i="1"/>
  <c r="C2632" i="1"/>
  <c r="B2632" i="1"/>
  <c r="A2632" i="1"/>
  <c r="J2631" i="1"/>
  <c r="I2631" i="1"/>
  <c r="H2631" i="1"/>
  <c r="G2631" i="1"/>
  <c r="F2631" i="1"/>
  <c r="E2631" i="1"/>
  <c r="D2631" i="1"/>
  <c r="C2631" i="1"/>
  <c r="B2631" i="1"/>
  <c r="A2631" i="1"/>
  <c r="J2630" i="1"/>
  <c r="I2630" i="1"/>
  <c r="H2630" i="1"/>
  <c r="G2630" i="1"/>
  <c r="F2630" i="1"/>
  <c r="E2630" i="1"/>
  <c r="D2630" i="1"/>
  <c r="C2630" i="1"/>
  <c r="B2630" i="1"/>
  <c r="A2630" i="1"/>
  <c r="J2629" i="1"/>
  <c r="I2629" i="1"/>
  <c r="H2629" i="1"/>
  <c r="G2629" i="1"/>
  <c r="F2629" i="1"/>
  <c r="E2629" i="1"/>
  <c r="D2629" i="1"/>
  <c r="C2629" i="1"/>
  <c r="B2629" i="1"/>
  <c r="A2629" i="1"/>
  <c r="J2628" i="1"/>
  <c r="I2628" i="1"/>
  <c r="H2628" i="1"/>
  <c r="G2628" i="1"/>
  <c r="F2628" i="1"/>
  <c r="E2628" i="1"/>
  <c r="D2628" i="1"/>
  <c r="C2628" i="1"/>
  <c r="B2628" i="1"/>
  <c r="A2628" i="1"/>
  <c r="J2627" i="1"/>
  <c r="I2627" i="1"/>
  <c r="H2627" i="1"/>
  <c r="G2627" i="1"/>
  <c r="F2627" i="1"/>
  <c r="E2627" i="1"/>
  <c r="D2627" i="1"/>
  <c r="C2627" i="1"/>
  <c r="B2627" i="1"/>
  <c r="A2627" i="1"/>
  <c r="J2626" i="1"/>
  <c r="I2626" i="1"/>
  <c r="H2626" i="1"/>
  <c r="G2626" i="1"/>
  <c r="F2626" i="1"/>
  <c r="E2626" i="1"/>
  <c r="D2626" i="1"/>
  <c r="C2626" i="1"/>
  <c r="B2626" i="1"/>
  <c r="A2626" i="1"/>
  <c r="J2625" i="1"/>
  <c r="I2625" i="1"/>
  <c r="H2625" i="1"/>
  <c r="G2625" i="1"/>
  <c r="F2625" i="1"/>
  <c r="E2625" i="1"/>
  <c r="D2625" i="1"/>
  <c r="C2625" i="1"/>
  <c r="B2625" i="1"/>
  <c r="A2625" i="1"/>
  <c r="J2624" i="1"/>
  <c r="I2624" i="1"/>
  <c r="H2624" i="1"/>
  <c r="G2624" i="1"/>
  <c r="F2624" i="1"/>
  <c r="E2624" i="1"/>
  <c r="D2624" i="1"/>
  <c r="C2624" i="1"/>
  <c r="B2624" i="1"/>
  <c r="A2624" i="1"/>
  <c r="J2623" i="1"/>
  <c r="I2623" i="1"/>
  <c r="H2623" i="1"/>
  <c r="G2623" i="1"/>
  <c r="F2623" i="1"/>
  <c r="E2623" i="1"/>
  <c r="D2623" i="1"/>
  <c r="C2623" i="1"/>
  <c r="B2623" i="1"/>
  <c r="A2623" i="1"/>
  <c r="J2622" i="1"/>
  <c r="I2622" i="1"/>
  <c r="H2622" i="1"/>
  <c r="G2622" i="1"/>
  <c r="F2622" i="1"/>
  <c r="E2622" i="1"/>
  <c r="D2622" i="1"/>
  <c r="C2622" i="1"/>
  <c r="B2622" i="1"/>
  <c r="A2622" i="1"/>
  <c r="J2621" i="1"/>
  <c r="I2621" i="1"/>
  <c r="H2621" i="1"/>
  <c r="G2621" i="1"/>
  <c r="F2621" i="1"/>
  <c r="E2621" i="1"/>
  <c r="D2621" i="1"/>
  <c r="C2621" i="1"/>
  <c r="B2621" i="1"/>
  <c r="A2621" i="1"/>
  <c r="J2620" i="1"/>
  <c r="I2620" i="1"/>
  <c r="H2620" i="1"/>
  <c r="G2620" i="1"/>
  <c r="F2620" i="1"/>
  <c r="E2620" i="1"/>
  <c r="D2620" i="1"/>
  <c r="C2620" i="1"/>
  <c r="B2620" i="1"/>
  <c r="A2620" i="1"/>
  <c r="J2619" i="1"/>
  <c r="I2619" i="1"/>
  <c r="H2619" i="1"/>
  <c r="G2619" i="1"/>
  <c r="F2619" i="1"/>
  <c r="E2619" i="1"/>
  <c r="D2619" i="1"/>
  <c r="C2619" i="1"/>
  <c r="B2619" i="1"/>
  <c r="A2619" i="1"/>
  <c r="J2618" i="1"/>
  <c r="I2618" i="1"/>
  <c r="H2618" i="1"/>
  <c r="G2618" i="1"/>
  <c r="F2618" i="1"/>
  <c r="E2618" i="1"/>
  <c r="D2618" i="1"/>
  <c r="C2618" i="1"/>
  <c r="B2618" i="1"/>
  <c r="A2618" i="1"/>
  <c r="J2617" i="1"/>
  <c r="I2617" i="1"/>
  <c r="H2617" i="1"/>
  <c r="G2617" i="1"/>
  <c r="F2617" i="1"/>
  <c r="E2617" i="1"/>
  <c r="D2617" i="1"/>
  <c r="C2617" i="1"/>
  <c r="B2617" i="1"/>
  <c r="A2617" i="1"/>
  <c r="J2616" i="1"/>
  <c r="I2616" i="1"/>
  <c r="H2616" i="1"/>
  <c r="G2616" i="1"/>
  <c r="F2616" i="1"/>
  <c r="E2616" i="1"/>
  <c r="D2616" i="1"/>
  <c r="C2616" i="1"/>
  <c r="B2616" i="1"/>
  <c r="A2616" i="1"/>
  <c r="J2615" i="1"/>
  <c r="I2615" i="1"/>
  <c r="H2615" i="1"/>
  <c r="G2615" i="1"/>
  <c r="F2615" i="1"/>
  <c r="E2615" i="1"/>
  <c r="D2615" i="1"/>
  <c r="C2615" i="1"/>
  <c r="B2615" i="1"/>
  <c r="A2615" i="1"/>
  <c r="J2614" i="1"/>
  <c r="I2614" i="1"/>
  <c r="H2614" i="1"/>
  <c r="G2614" i="1"/>
  <c r="F2614" i="1"/>
  <c r="E2614" i="1"/>
  <c r="D2614" i="1"/>
  <c r="C2614" i="1"/>
  <c r="B2614" i="1"/>
  <c r="A2614" i="1"/>
  <c r="J2613" i="1"/>
  <c r="I2613" i="1"/>
  <c r="H2613" i="1"/>
  <c r="G2613" i="1"/>
  <c r="F2613" i="1"/>
  <c r="E2613" i="1"/>
  <c r="D2613" i="1"/>
  <c r="C2613" i="1"/>
  <c r="B2613" i="1"/>
  <c r="A2613" i="1"/>
  <c r="J2612" i="1"/>
  <c r="I2612" i="1"/>
  <c r="H2612" i="1"/>
  <c r="G2612" i="1"/>
  <c r="F2612" i="1"/>
  <c r="E2612" i="1"/>
  <c r="D2612" i="1"/>
  <c r="C2612" i="1"/>
  <c r="B2612" i="1"/>
  <c r="A2612" i="1"/>
  <c r="J2611" i="1"/>
  <c r="I2611" i="1"/>
  <c r="H2611" i="1"/>
  <c r="G2611" i="1"/>
  <c r="F2611" i="1"/>
  <c r="E2611" i="1"/>
  <c r="D2611" i="1"/>
  <c r="C2611" i="1"/>
  <c r="B2611" i="1"/>
  <c r="A2611" i="1"/>
  <c r="J2610" i="1"/>
  <c r="I2610" i="1"/>
  <c r="H2610" i="1"/>
  <c r="G2610" i="1"/>
  <c r="F2610" i="1"/>
  <c r="E2610" i="1"/>
  <c r="D2610" i="1"/>
  <c r="C2610" i="1"/>
  <c r="B2610" i="1"/>
  <c r="A2610" i="1"/>
  <c r="J2609" i="1"/>
  <c r="I2609" i="1"/>
  <c r="H2609" i="1"/>
  <c r="G2609" i="1"/>
  <c r="F2609" i="1"/>
  <c r="E2609" i="1"/>
  <c r="D2609" i="1"/>
  <c r="C2609" i="1"/>
  <c r="B2609" i="1"/>
  <c r="A2609" i="1"/>
  <c r="J2608" i="1"/>
  <c r="I2608" i="1"/>
  <c r="H2608" i="1"/>
  <c r="G2608" i="1"/>
  <c r="F2608" i="1"/>
  <c r="E2608" i="1"/>
  <c r="D2608" i="1"/>
  <c r="C2608" i="1"/>
  <c r="B2608" i="1"/>
  <c r="A2608" i="1"/>
  <c r="J2607" i="1"/>
  <c r="I2607" i="1"/>
  <c r="H2607" i="1"/>
  <c r="G2607" i="1"/>
  <c r="F2607" i="1"/>
  <c r="E2607" i="1"/>
  <c r="D2607" i="1"/>
  <c r="C2607" i="1"/>
  <c r="B2607" i="1"/>
  <c r="A2607" i="1"/>
  <c r="J2606" i="1"/>
  <c r="I2606" i="1"/>
  <c r="H2606" i="1"/>
  <c r="G2606" i="1"/>
  <c r="F2606" i="1"/>
  <c r="E2606" i="1"/>
  <c r="D2606" i="1"/>
  <c r="C2606" i="1"/>
  <c r="B2606" i="1"/>
  <c r="A2606" i="1"/>
  <c r="J2605" i="1"/>
  <c r="I2605" i="1"/>
  <c r="H2605" i="1"/>
  <c r="G2605" i="1"/>
  <c r="F2605" i="1"/>
  <c r="E2605" i="1"/>
  <c r="D2605" i="1"/>
  <c r="C2605" i="1"/>
  <c r="B2605" i="1"/>
  <c r="A2605" i="1"/>
  <c r="J2604" i="1"/>
  <c r="I2604" i="1"/>
  <c r="H2604" i="1"/>
  <c r="G2604" i="1"/>
  <c r="F2604" i="1"/>
  <c r="E2604" i="1"/>
  <c r="D2604" i="1"/>
  <c r="C2604" i="1"/>
  <c r="B2604" i="1"/>
  <c r="A2604" i="1"/>
  <c r="J2603" i="1"/>
  <c r="I2603" i="1"/>
  <c r="H2603" i="1"/>
  <c r="G2603" i="1"/>
  <c r="F2603" i="1"/>
  <c r="E2603" i="1"/>
  <c r="D2603" i="1"/>
  <c r="C2603" i="1"/>
  <c r="B2603" i="1"/>
  <c r="A2603" i="1"/>
  <c r="J2602" i="1"/>
  <c r="I2602" i="1"/>
  <c r="H2602" i="1"/>
  <c r="G2602" i="1"/>
  <c r="F2602" i="1"/>
  <c r="E2602" i="1"/>
  <c r="D2602" i="1"/>
  <c r="C2602" i="1"/>
  <c r="B2602" i="1"/>
  <c r="A2602" i="1"/>
  <c r="J2601" i="1"/>
  <c r="I2601" i="1"/>
  <c r="H2601" i="1"/>
  <c r="G2601" i="1"/>
  <c r="F2601" i="1"/>
  <c r="E2601" i="1"/>
  <c r="D2601" i="1"/>
  <c r="C2601" i="1"/>
  <c r="B2601" i="1"/>
  <c r="A2601" i="1"/>
  <c r="J2600" i="1"/>
  <c r="I2600" i="1"/>
  <c r="H2600" i="1"/>
  <c r="G2600" i="1"/>
  <c r="F2600" i="1"/>
  <c r="E2600" i="1"/>
  <c r="D2600" i="1"/>
  <c r="C2600" i="1"/>
  <c r="B2600" i="1"/>
  <c r="A2600" i="1"/>
  <c r="J2599" i="1"/>
  <c r="I2599" i="1"/>
  <c r="H2599" i="1"/>
  <c r="G2599" i="1"/>
  <c r="F2599" i="1"/>
  <c r="E2599" i="1"/>
  <c r="D2599" i="1"/>
  <c r="C2599" i="1"/>
  <c r="B2599" i="1"/>
  <c r="A2599" i="1"/>
  <c r="J2598" i="1"/>
  <c r="I2598" i="1"/>
  <c r="H2598" i="1"/>
  <c r="G2598" i="1"/>
  <c r="F2598" i="1"/>
  <c r="E2598" i="1"/>
  <c r="D2598" i="1"/>
  <c r="C2598" i="1"/>
  <c r="B2598" i="1"/>
  <c r="A2598" i="1"/>
  <c r="J2597" i="1"/>
  <c r="I2597" i="1"/>
  <c r="H2597" i="1"/>
  <c r="G2597" i="1"/>
  <c r="F2597" i="1"/>
  <c r="E2597" i="1"/>
  <c r="D2597" i="1"/>
  <c r="C2597" i="1"/>
  <c r="B2597" i="1"/>
  <c r="A2597" i="1"/>
  <c r="J2596" i="1"/>
  <c r="I2596" i="1"/>
  <c r="H2596" i="1"/>
  <c r="G2596" i="1"/>
  <c r="F2596" i="1"/>
  <c r="E2596" i="1"/>
  <c r="D2596" i="1"/>
  <c r="C2596" i="1"/>
  <c r="B2596" i="1"/>
  <c r="A2596" i="1"/>
  <c r="J2595" i="1"/>
  <c r="I2595" i="1"/>
  <c r="H2595" i="1"/>
  <c r="G2595" i="1"/>
  <c r="F2595" i="1"/>
  <c r="E2595" i="1"/>
  <c r="D2595" i="1"/>
  <c r="C2595" i="1"/>
  <c r="B2595" i="1"/>
  <c r="A2595" i="1"/>
  <c r="J2594" i="1"/>
  <c r="I2594" i="1"/>
  <c r="H2594" i="1"/>
  <c r="G2594" i="1"/>
  <c r="F2594" i="1"/>
  <c r="E2594" i="1"/>
  <c r="D2594" i="1"/>
  <c r="C2594" i="1"/>
  <c r="B2594" i="1"/>
  <c r="A2594" i="1"/>
  <c r="J2593" i="1"/>
  <c r="I2593" i="1"/>
  <c r="H2593" i="1"/>
  <c r="G2593" i="1"/>
  <c r="F2593" i="1"/>
  <c r="E2593" i="1"/>
  <c r="D2593" i="1"/>
  <c r="C2593" i="1"/>
  <c r="B2593" i="1"/>
  <c r="A2593" i="1"/>
  <c r="J2592" i="1"/>
  <c r="I2592" i="1"/>
  <c r="H2592" i="1"/>
  <c r="G2592" i="1"/>
  <c r="F2592" i="1"/>
  <c r="E2592" i="1"/>
  <c r="D2592" i="1"/>
  <c r="C2592" i="1"/>
  <c r="B2592" i="1"/>
  <c r="A2592" i="1"/>
  <c r="J2591" i="1"/>
  <c r="I2591" i="1"/>
  <c r="H2591" i="1"/>
  <c r="G2591" i="1"/>
  <c r="F2591" i="1"/>
  <c r="E2591" i="1"/>
  <c r="D2591" i="1"/>
  <c r="C2591" i="1"/>
  <c r="B2591" i="1"/>
  <c r="A2591" i="1"/>
  <c r="J2590" i="1"/>
  <c r="I2590" i="1"/>
  <c r="H2590" i="1"/>
  <c r="G2590" i="1"/>
  <c r="F2590" i="1"/>
  <c r="E2590" i="1"/>
  <c r="D2590" i="1"/>
  <c r="C2590" i="1"/>
  <c r="B2590" i="1"/>
  <c r="A2590" i="1"/>
  <c r="J2589" i="1"/>
  <c r="I2589" i="1"/>
  <c r="H2589" i="1"/>
  <c r="G2589" i="1"/>
  <c r="F2589" i="1"/>
  <c r="E2589" i="1"/>
  <c r="D2589" i="1"/>
  <c r="C2589" i="1"/>
  <c r="B2589" i="1"/>
  <c r="A2589" i="1"/>
  <c r="J2588" i="1"/>
  <c r="I2588" i="1"/>
  <c r="H2588" i="1"/>
  <c r="G2588" i="1"/>
  <c r="F2588" i="1"/>
  <c r="E2588" i="1"/>
  <c r="D2588" i="1"/>
  <c r="C2588" i="1"/>
  <c r="B2588" i="1"/>
  <c r="A2588" i="1"/>
  <c r="J2587" i="1"/>
  <c r="I2587" i="1"/>
  <c r="H2587" i="1"/>
  <c r="G2587" i="1"/>
  <c r="F2587" i="1"/>
  <c r="E2587" i="1"/>
  <c r="C2587" i="1"/>
  <c r="B2587" i="1"/>
  <c r="A2587" i="1"/>
  <c r="J2586" i="1"/>
  <c r="I2586" i="1"/>
  <c r="H2586" i="1"/>
  <c r="G2586" i="1"/>
  <c r="F2586" i="1"/>
  <c r="E2586" i="1"/>
  <c r="D2586" i="1"/>
  <c r="C2586" i="1"/>
  <c r="B2586" i="1"/>
  <c r="A2586" i="1"/>
  <c r="J2585" i="1"/>
  <c r="I2585" i="1"/>
  <c r="H2585" i="1"/>
  <c r="G2585" i="1"/>
  <c r="F2585" i="1"/>
  <c r="E2585" i="1"/>
  <c r="D2585" i="1"/>
  <c r="C2585" i="1"/>
  <c r="B2585" i="1"/>
  <c r="A2585" i="1"/>
  <c r="J2584" i="1"/>
  <c r="I2584" i="1"/>
  <c r="H2584" i="1"/>
  <c r="G2584" i="1"/>
  <c r="F2584" i="1"/>
  <c r="E2584" i="1"/>
  <c r="D2584" i="1"/>
  <c r="C2584" i="1"/>
  <c r="B2584" i="1"/>
  <c r="A2584" i="1"/>
  <c r="J2583" i="1"/>
  <c r="I2583" i="1"/>
  <c r="H2583" i="1"/>
  <c r="G2583" i="1"/>
  <c r="F2583" i="1"/>
  <c r="E2583" i="1"/>
  <c r="D2583" i="1"/>
  <c r="C2583" i="1"/>
  <c r="B2583" i="1"/>
  <c r="A2583" i="1"/>
  <c r="J2582" i="1"/>
  <c r="I2582" i="1"/>
  <c r="H2582" i="1"/>
  <c r="G2582" i="1"/>
  <c r="F2582" i="1"/>
  <c r="E2582" i="1"/>
  <c r="D2582" i="1"/>
  <c r="C2582" i="1"/>
  <c r="B2582" i="1"/>
  <c r="A2582" i="1"/>
  <c r="J2581" i="1"/>
  <c r="I2581" i="1"/>
  <c r="H2581" i="1"/>
  <c r="G2581" i="1"/>
  <c r="F2581" i="1"/>
  <c r="E2581" i="1"/>
  <c r="D2581" i="1"/>
  <c r="C2581" i="1"/>
  <c r="B2581" i="1"/>
  <c r="A2581" i="1"/>
  <c r="J2580" i="1"/>
  <c r="I2580" i="1"/>
  <c r="H2580" i="1"/>
  <c r="G2580" i="1"/>
  <c r="F2580" i="1"/>
  <c r="E2580" i="1"/>
  <c r="D2580" i="1"/>
  <c r="C2580" i="1"/>
  <c r="B2580" i="1"/>
  <c r="A2580" i="1"/>
  <c r="J2579" i="1"/>
  <c r="I2579" i="1"/>
  <c r="H2579" i="1"/>
  <c r="G2579" i="1"/>
  <c r="F2579" i="1"/>
  <c r="E2579" i="1"/>
  <c r="D2579" i="1"/>
  <c r="C2579" i="1"/>
  <c r="B2579" i="1"/>
  <c r="A2579" i="1"/>
  <c r="J2578" i="1"/>
  <c r="I2578" i="1"/>
  <c r="H2578" i="1"/>
  <c r="G2578" i="1"/>
  <c r="F2578" i="1"/>
  <c r="E2578" i="1"/>
  <c r="D2578" i="1"/>
  <c r="C2578" i="1"/>
  <c r="B2578" i="1"/>
  <c r="A2578" i="1"/>
  <c r="J2577" i="1"/>
  <c r="I2577" i="1"/>
  <c r="H2577" i="1"/>
  <c r="G2577" i="1"/>
  <c r="F2577" i="1"/>
  <c r="E2577" i="1"/>
  <c r="D2577" i="1"/>
  <c r="C2577" i="1"/>
  <c r="B2577" i="1"/>
  <c r="A2577" i="1"/>
  <c r="J2576" i="1"/>
  <c r="I2576" i="1"/>
  <c r="H2576" i="1"/>
  <c r="G2576" i="1"/>
  <c r="F2576" i="1"/>
  <c r="E2576" i="1"/>
  <c r="D2576" i="1"/>
  <c r="C2576" i="1"/>
  <c r="B2576" i="1"/>
  <c r="A2576" i="1"/>
  <c r="J2575" i="1"/>
  <c r="I2575" i="1"/>
  <c r="H2575" i="1"/>
  <c r="G2575" i="1"/>
  <c r="F2575" i="1"/>
  <c r="E2575" i="1"/>
  <c r="D2575" i="1"/>
  <c r="C2575" i="1"/>
  <c r="B2575" i="1"/>
  <c r="A2575" i="1"/>
  <c r="J2574" i="1"/>
  <c r="I2574" i="1"/>
  <c r="H2574" i="1"/>
  <c r="G2574" i="1"/>
  <c r="F2574" i="1"/>
  <c r="E2574" i="1"/>
  <c r="D2574" i="1"/>
  <c r="C2574" i="1"/>
  <c r="B2574" i="1"/>
  <c r="A2574" i="1"/>
  <c r="J2573" i="1"/>
  <c r="I2573" i="1"/>
  <c r="H2573" i="1"/>
  <c r="G2573" i="1"/>
  <c r="F2573" i="1"/>
  <c r="E2573" i="1"/>
  <c r="D2573" i="1"/>
  <c r="C2573" i="1"/>
  <c r="B2573" i="1"/>
  <c r="A2573" i="1"/>
  <c r="J2572" i="1"/>
  <c r="I2572" i="1"/>
  <c r="H2572" i="1"/>
  <c r="G2572" i="1"/>
  <c r="F2572" i="1"/>
  <c r="E2572" i="1"/>
  <c r="D2572" i="1"/>
  <c r="C2572" i="1"/>
  <c r="B2572" i="1"/>
  <c r="A2572" i="1"/>
  <c r="J2571" i="1"/>
  <c r="I2571" i="1"/>
  <c r="H2571" i="1"/>
  <c r="G2571" i="1"/>
  <c r="F2571" i="1"/>
  <c r="E2571" i="1"/>
  <c r="D2571" i="1"/>
  <c r="C2571" i="1"/>
  <c r="B2571" i="1"/>
  <c r="A2571" i="1"/>
  <c r="J2570" i="1"/>
  <c r="I2570" i="1"/>
  <c r="H2570" i="1"/>
  <c r="G2570" i="1"/>
  <c r="F2570" i="1"/>
  <c r="E2570" i="1"/>
  <c r="D2570" i="1"/>
  <c r="C2570" i="1"/>
  <c r="B2570" i="1"/>
  <c r="A2570" i="1"/>
  <c r="J2569" i="1"/>
  <c r="I2569" i="1"/>
  <c r="H2569" i="1"/>
  <c r="G2569" i="1"/>
  <c r="F2569" i="1"/>
  <c r="E2569" i="1"/>
  <c r="D2569" i="1"/>
  <c r="C2569" i="1"/>
  <c r="B2569" i="1"/>
  <c r="A2569" i="1"/>
  <c r="J2568" i="1"/>
  <c r="I2568" i="1"/>
  <c r="H2568" i="1"/>
  <c r="G2568" i="1"/>
  <c r="F2568" i="1"/>
  <c r="E2568" i="1"/>
  <c r="D2568" i="1"/>
  <c r="C2568" i="1"/>
  <c r="B2568" i="1"/>
  <c r="A2568" i="1"/>
  <c r="J2567" i="1"/>
  <c r="I2567" i="1"/>
  <c r="H2567" i="1"/>
  <c r="G2567" i="1"/>
  <c r="F2567" i="1"/>
  <c r="E2567" i="1"/>
  <c r="D2567" i="1"/>
  <c r="C2567" i="1"/>
  <c r="B2567" i="1"/>
  <c r="A2567" i="1"/>
  <c r="J2566" i="1"/>
  <c r="I2566" i="1"/>
  <c r="H2566" i="1"/>
  <c r="G2566" i="1"/>
  <c r="F2566" i="1"/>
  <c r="E2566" i="1"/>
  <c r="D2566" i="1"/>
  <c r="C2566" i="1"/>
  <c r="B2566" i="1"/>
  <c r="A2566" i="1"/>
  <c r="J2565" i="1"/>
  <c r="I2565" i="1"/>
  <c r="H2565" i="1"/>
  <c r="G2565" i="1"/>
  <c r="F2565" i="1"/>
  <c r="E2565" i="1"/>
  <c r="D2565" i="1"/>
  <c r="C2565" i="1"/>
  <c r="B2565" i="1"/>
  <c r="A2565" i="1"/>
  <c r="J2564" i="1"/>
  <c r="I2564" i="1"/>
  <c r="H2564" i="1"/>
  <c r="G2564" i="1"/>
  <c r="F2564" i="1"/>
  <c r="E2564" i="1"/>
  <c r="D2564" i="1"/>
  <c r="C2564" i="1"/>
  <c r="B2564" i="1"/>
  <c r="A2564" i="1"/>
  <c r="J2563" i="1"/>
  <c r="I2563" i="1"/>
  <c r="H2563" i="1"/>
  <c r="G2563" i="1"/>
  <c r="F2563" i="1"/>
  <c r="E2563" i="1"/>
  <c r="D2563" i="1"/>
  <c r="C2563" i="1"/>
  <c r="B2563" i="1"/>
  <c r="A2563" i="1"/>
  <c r="J2562" i="1"/>
  <c r="I2562" i="1"/>
  <c r="H2562" i="1"/>
  <c r="G2562" i="1"/>
  <c r="F2562" i="1"/>
  <c r="E2562" i="1"/>
  <c r="D2562" i="1"/>
  <c r="C2562" i="1"/>
  <c r="B2562" i="1"/>
  <c r="A2562" i="1"/>
  <c r="J2561" i="1"/>
  <c r="I2561" i="1"/>
  <c r="H2561" i="1"/>
  <c r="G2561" i="1"/>
  <c r="F2561" i="1"/>
  <c r="E2561" i="1"/>
  <c r="D2561" i="1"/>
  <c r="C2561" i="1"/>
  <c r="B2561" i="1"/>
  <c r="A2561" i="1"/>
  <c r="J2560" i="1"/>
  <c r="I2560" i="1"/>
  <c r="H2560" i="1"/>
  <c r="G2560" i="1"/>
  <c r="F2560" i="1"/>
  <c r="E2560" i="1"/>
  <c r="D2560" i="1"/>
  <c r="C2560" i="1"/>
  <c r="B2560" i="1"/>
  <c r="A2560" i="1"/>
  <c r="J2559" i="1"/>
  <c r="I2559" i="1"/>
  <c r="H2559" i="1"/>
  <c r="G2559" i="1"/>
  <c r="F2559" i="1"/>
  <c r="E2559" i="1"/>
  <c r="D2559" i="1"/>
  <c r="C2559" i="1"/>
  <c r="B2559" i="1"/>
  <c r="A2559" i="1"/>
  <c r="J2558" i="1"/>
  <c r="I2558" i="1"/>
  <c r="H2558" i="1"/>
  <c r="G2558" i="1"/>
  <c r="F2558" i="1"/>
  <c r="E2558" i="1"/>
  <c r="D2558" i="1"/>
  <c r="C2558" i="1"/>
  <c r="B2558" i="1"/>
  <c r="A2558" i="1"/>
  <c r="J2557" i="1"/>
  <c r="I2557" i="1"/>
  <c r="H2557" i="1"/>
  <c r="G2557" i="1"/>
  <c r="F2557" i="1"/>
  <c r="E2557" i="1"/>
  <c r="D2557" i="1"/>
  <c r="C2557" i="1"/>
  <c r="B2557" i="1"/>
  <c r="A2557" i="1"/>
  <c r="J2556" i="1"/>
  <c r="I2556" i="1"/>
  <c r="H2556" i="1"/>
  <c r="G2556" i="1"/>
  <c r="F2556" i="1"/>
  <c r="E2556" i="1"/>
  <c r="D2556" i="1"/>
  <c r="C2556" i="1"/>
  <c r="B2556" i="1"/>
  <c r="A2556" i="1"/>
  <c r="J2555" i="1"/>
  <c r="I2555" i="1"/>
  <c r="H2555" i="1"/>
  <c r="G2555" i="1"/>
  <c r="F2555" i="1"/>
  <c r="E2555" i="1"/>
  <c r="D2555" i="1"/>
  <c r="C2555" i="1"/>
  <c r="B2555" i="1"/>
  <c r="A2555" i="1"/>
  <c r="J2554" i="1"/>
  <c r="I2554" i="1"/>
  <c r="H2554" i="1"/>
  <c r="G2554" i="1"/>
  <c r="F2554" i="1"/>
  <c r="E2554" i="1"/>
  <c r="D2554" i="1"/>
  <c r="C2554" i="1"/>
  <c r="B2554" i="1"/>
  <c r="A2554" i="1"/>
  <c r="J2553" i="1"/>
  <c r="I2553" i="1"/>
  <c r="H2553" i="1"/>
  <c r="G2553" i="1"/>
  <c r="F2553" i="1"/>
  <c r="E2553" i="1"/>
  <c r="D2553" i="1"/>
  <c r="C2553" i="1"/>
  <c r="B2553" i="1"/>
  <c r="A2553" i="1"/>
  <c r="J2552" i="1"/>
  <c r="I2552" i="1"/>
  <c r="H2552" i="1"/>
  <c r="G2552" i="1"/>
  <c r="F2552" i="1"/>
  <c r="E2552" i="1"/>
  <c r="D2552" i="1"/>
  <c r="C2552" i="1"/>
  <c r="B2552" i="1"/>
  <c r="A2552" i="1"/>
  <c r="J2551" i="1"/>
  <c r="I2551" i="1"/>
  <c r="H2551" i="1"/>
  <c r="G2551" i="1"/>
  <c r="F2551" i="1"/>
  <c r="E2551" i="1"/>
  <c r="D2551" i="1"/>
  <c r="C2551" i="1"/>
  <c r="B2551" i="1"/>
  <c r="A2551" i="1"/>
  <c r="J2550" i="1"/>
  <c r="I2550" i="1"/>
  <c r="H2550" i="1"/>
  <c r="G2550" i="1"/>
  <c r="F2550" i="1"/>
  <c r="E2550" i="1"/>
  <c r="D2550" i="1"/>
  <c r="C2550" i="1"/>
  <c r="B2550" i="1"/>
  <c r="A2550" i="1"/>
  <c r="J2549" i="1"/>
  <c r="I2549" i="1"/>
  <c r="H2549" i="1"/>
  <c r="G2549" i="1"/>
  <c r="F2549" i="1"/>
  <c r="E2549" i="1"/>
  <c r="D2549" i="1"/>
  <c r="C2549" i="1"/>
  <c r="B2549" i="1"/>
  <c r="A2549" i="1"/>
  <c r="J2548" i="1"/>
  <c r="I2548" i="1"/>
  <c r="H2548" i="1"/>
  <c r="G2548" i="1"/>
  <c r="F2548" i="1"/>
  <c r="E2548" i="1"/>
  <c r="D2548" i="1"/>
  <c r="C2548" i="1"/>
  <c r="B2548" i="1"/>
  <c r="A2548" i="1"/>
  <c r="J2547" i="1"/>
  <c r="I2547" i="1"/>
  <c r="H2547" i="1"/>
  <c r="G2547" i="1"/>
  <c r="F2547" i="1"/>
  <c r="E2547" i="1"/>
  <c r="D2547" i="1"/>
  <c r="C2547" i="1"/>
  <c r="B2547" i="1"/>
  <c r="A2547" i="1"/>
  <c r="J2546" i="1"/>
  <c r="I2546" i="1"/>
  <c r="H2546" i="1"/>
  <c r="G2546" i="1"/>
  <c r="F2546" i="1"/>
  <c r="E2546" i="1"/>
  <c r="D2546" i="1"/>
  <c r="C2546" i="1"/>
  <c r="B2546" i="1"/>
  <c r="A2546" i="1"/>
  <c r="J2545" i="1"/>
  <c r="I2545" i="1"/>
  <c r="H2545" i="1"/>
  <c r="G2545" i="1"/>
  <c r="F2545" i="1"/>
  <c r="E2545" i="1"/>
  <c r="D2545" i="1"/>
  <c r="C2545" i="1"/>
  <c r="B2545" i="1"/>
  <c r="A2545" i="1"/>
  <c r="J2544" i="1"/>
  <c r="I2544" i="1"/>
  <c r="H2544" i="1"/>
  <c r="G2544" i="1"/>
  <c r="F2544" i="1"/>
  <c r="E2544" i="1"/>
  <c r="D2544" i="1"/>
  <c r="C2544" i="1"/>
  <c r="B2544" i="1"/>
  <c r="A2544" i="1"/>
  <c r="J2543" i="1"/>
  <c r="I2543" i="1"/>
  <c r="H2543" i="1"/>
  <c r="G2543" i="1"/>
  <c r="F2543" i="1"/>
  <c r="E2543" i="1"/>
  <c r="D2543" i="1"/>
  <c r="C2543" i="1"/>
  <c r="B2543" i="1"/>
  <c r="A2543" i="1"/>
  <c r="J2542" i="1"/>
  <c r="I2542" i="1"/>
  <c r="H2542" i="1"/>
  <c r="G2542" i="1"/>
  <c r="F2542" i="1"/>
  <c r="E2542" i="1"/>
  <c r="D2542" i="1"/>
  <c r="C2542" i="1"/>
  <c r="B2542" i="1"/>
  <c r="A2542" i="1"/>
  <c r="J2541" i="1"/>
  <c r="I2541" i="1"/>
  <c r="H2541" i="1"/>
  <c r="G2541" i="1"/>
  <c r="F2541" i="1"/>
  <c r="E2541" i="1"/>
  <c r="D2541" i="1"/>
  <c r="C2541" i="1"/>
  <c r="B2541" i="1"/>
  <c r="A2541" i="1"/>
  <c r="J2540" i="1"/>
  <c r="I2540" i="1"/>
  <c r="H2540" i="1"/>
  <c r="G2540" i="1"/>
  <c r="F2540" i="1"/>
  <c r="E2540" i="1"/>
  <c r="D2540" i="1"/>
  <c r="C2540" i="1"/>
  <c r="B2540" i="1"/>
  <c r="A2540" i="1"/>
  <c r="J2539" i="1"/>
  <c r="I2539" i="1"/>
  <c r="H2539" i="1"/>
  <c r="G2539" i="1"/>
  <c r="F2539" i="1"/>
  <c r="E2539" i="1"/>
  <c r="D2539" i="1"/>
  <c r="C2539" i="1"/>
  <c r="B2539" i="1"/>
  <c r="A2539" i="1"/>
  <c r="J2538" i="1"/>
  <c r="I2538" i="1"/>
  <c r="H2538" i="1"/>
  <c r="G2538" i="1"/>
  <c r="F2538" i="1"/>
  <c r="E2538" i="1"/>
  <c r="D2538" i="1"/>
  <c r="C2538" i="1"/>
  <c r="B2538" i="1"/>
  <c r="A2538" i="1"/>
  <c r="J2537" i="1"/>
  <c r="I2537" i="1"/>
  <c r="H2537" i="1"/>
  <c r="G2537" i="1"/>
  <c r="F2537" i="1"/>
  <c r="E2537" i="1"/>
  <c r="D2537" i="1"/>
  <c r="C2537" i="1"/>
  <c r="B2537" i="1"/>
  <c r="A2537" i="1"/>
  <c r="J2536" i="1"/>
  <c r="I2536" i="1"/>
  <c r="H2536" i="1"/>
  <c r="G2536" i="1"/>
  <c r="F2536" i="1"/>
  <c r="E2536" i="1"/>
  <c r="D2536" i="1"/>
  <c r="C2536" i="1"/>
  <c r="B2536" i="1"/>
  <c r="A2536" i="1"/>
  <c r="J2535" i="1"/>
  <c r="I2535" i="1"/>
  <c r="H2535" i="1"/>
  <c r="G2535" i="1"/>
  <c r="F2535" i="1"/>
  <c r="E2535" i="1"/>
  <c r="D2535" i="1"/>
  <c r="C2535" i="1"/>
  <c r="B2535" i="1"/>
  <c r="A2535" i="1"/>
  <c r="J2534" i="1"/>
  <c r="I2534" i="1"/>
  <c r="H2534" i="1"/>
  <c r="G2534" i="1"/>
  <c r="F2534" i="1"/>
  <c r="E2534" i="1"/>
  <c r="D2534" i="1"/>
  <c r="C2534" i="1"/>
  <c r="B2534" i="1"/>
  <c r="A2534" i="1"/>
  <c r="J2533" i="1"/>
  <c r="I2533" i="1"/>
  <c r="H2533" i="1"/>
  <c r="G2533" i="1"/>
  <c r="F2533" i="1"/>
  <c r="E2533" i="1"/>
  <c r="D2533" i="1"/>
  <c r="C2533" i="1"/>
  <c r="B2533" i="1"/>
  <c r="A2533" i="1"/>
  <c r="J2532" i="1"/>
  <c r="I2532" i="1"/>
  <c r="H2532" i="1"/>
  <c r="G2532" i="1"/>
  <c r="F2532" i="1"/>
  <c r="E2532" i="1"/>
  <c r="D2532" i="1"/>
  <c r="C2532" i="1"/>
  <c r="B2532" i="1"/>
  <c r="A2532" i="1"/>
  <c r="J2531" i="1"/>
  <c r="I2531" i="1"/>
  <c r="H2531" i="1"/>
  <c r="G2531" i="1"/>
  <c r="F2531" i="1"/>
  <c r="E2531" i="1"/>
  <c r="D2531" i="1"/>
  <c r="C2531" i="1"/>
  <c r="B2531" i="1"/>
  <c r="A2531" i="1"/>
  <c r="J2530" i="1"/>
  <c r="I2530" i="1"/>
  <c r="H2530" i="1"/>
  <c r="G2530" i="1"/>
  <c r="F2530" i="1"/>
  <c r="E2530" i="1"/>
  <c r="D2530" i="1"/>
  <c r="C2530" i="1"/>
  <c r="B2530" i="1"/>
  <c r="A2530" i="1"/>
  <c r="J2529" i="1"/>
  <c r="I2529" i="1"/>
  <c r="H2529" i="1"/>
  <c r="G2529" i="1"/>
  <c r="F2529" i="1"/>
  <c r="E2529" i="1"/>
  <c r="D2529" i="1"/>
  <c r="C2529" i="1"/>
  <c r="B2529" i="1"/>
  <c r="A2529" i="1"/>
  <c r="J2528" i="1"/>
  <c r="I2528" i="1"/>
  <c r="H2528" i="1"/>
  <c r="G2528" i="1"/>
  <c r="F2528" i="1"/>
  <c r="E2528" i="1"/>
  <c r="D2528" i="1"/>
  <c r="C2528" i="1"/>
  <c r="B2528" i="1"/>
  <c r="A2528" i="1"/>
  <c r="J2527" i="1"/>
  <c r="I2527" i="1"/>
  <c r="H2527" i="1"/>
  <c r="G2527" i="1"/>
  <c r="F2527" i="1"/>
  <c r="E2527" i="1"/>
  <c r="D2527" i="1"/>
  <c r="C2527" i="1"/>
  <c r="B2527" i="1"/>
  <c r="A2527" i="1"/>
  <c r="J2526" i="1"/>
  <c r="I2526" i="1"/>
  <c r="H2526" i="1"/>
  <c r="G2526" i="1"/>
  <c r="F2526" i="1"/>
  <c r="E2526" i="1"/>
  <c r="D2526" i="1"/>
  <c r="C2526" i="1"/>
  <c r="B2526" i="1"/>
  <c r="A2526" i="1"/>
  <c r="J2525" i="1"/>
  <c r="I2525" i="1"/>
  <c r="H2525" i="1"/>
  <c r="G2525" i="1"/>
  <c r="F2525" i="1"/>
  <c r="E2525" i="1"/>
  <c r="D2525" i="1"/>
  <c r="C2525" i="1"/>
  <c r="B2525" i="1"/>
  <c r="A2525" i="1"/>
  <c r="J2524" i="1"/>
  <c r="I2524" i="1"/>
  <c r="H2524" i="1"/>
  <c r="G2524" i="1"/>
  <c r="F2524" i="1"/>
  <c r="E2524" i="1"/>
  <c r="D2524" i="1"/>
  <c r="C2524" i="1"/>
  <c r="B2524" i="1"/>
  <c r="A2524" i="1"/>
  <c r="J2523" i="1"/>
  <c r="I2523" i="1"/>
  <c r="H2523" i="1"/>
  <c r="G2523" i="1"/>
  <c r="F2523" i="1"/>
  <c r="E2523" i="1"/>
  <c r="D2523" i="1"/>
  <c r="C2523" i="1"/>
  <c r="B2523" i="1"/>
  <c r="A2523" i="1"/>
  <c r="J2522" i="1"/>
  <c r="I2522" i="1"/>
  <c r="H2522" i="1"/>
  <c r="G2522" i="1"/>
  <c r="F2522" i="1"/>
  <c r="E2522" i="1"/>
  <c r="D2522" i="1"/>
  <c r="C2522" i="1"/>
  <c r="B2522" i="1"/>
  <c r="A2522" i="1"/>
  <c r="J2521" i="1"/>
  <c r="I2521" i="1"/>
  <c r="H2521" i="1"/>
  <c r="G2521" i="1"/>
  <c r="F2521" i="1"/>
  <c r="E2521" i="1"/>
  <c r="D2521" i="1"/>
  <c r="C2521" i="1"/>
  <c r="B2521" i="1"/>
  <c r="A2521" i="1"/>
  <c r="J2520" i="1"/>
  <c r="I2520" i="1"/>
  <c r="H2520" i="1"/>
  <c r="G2520" i="1"/>
  <c r="F2520" i="1"/>
  <c r="E2520" i="1"/>
  <c r="D2520" i="1"/>
  <c r="C2520" i="1"/>
  <c r="B2520" i="1"/>
  <c r="A2520" i="1"/>
  <c r="J2519" i="1"/>
  <c r="I2519" i="1"/>
  <c r="H2519" i="1"/>
  <c r="G2519" i="1"/>
  <c r="F2519" i="1"/>
  <c r="E2519" i="1"/>
  <c r="D2519" i="1"/>
  <c r="C2519" i="1"/>
  <c r="B2519" i="1"/>
  <c r="A2519" i="1"/>
  <c r="J2518" i="1"/>
  <c r="I2518" i="1"/>
  <c r="H2518" i="1"/>
  <c r="G2518" i="1"/>
  <c r="F2518" i="1"/>
  <c r="E2518" i="1"/>
  <c r="D2518" i="1"/>
  <c r="C2518" i="1"/>
  <c r="B2518" i="1"/>
  <c r="A2518" i="1"/>
  <c r="J2517" i="1"/>
  <c r="I2517" i="1"/>
  <c r="H2517" i="1"/>
  <c r="G2517" i="1"/>
  <c r="F2517" i="1"/>
  <c r="E2517" i="1"/>
  <c r="D2517" i="1"/>
  <c r="C2517" i="1"/>
  <c r="B2517" i="1"/>
  <c r="A2517" i="1"/>
  <c r="J2516" i="1"/>
  <c r="I2516" i="1"/>
  <c r="H2516" i="1"/>
  <c r="G2516" i="1"/>
  <c r="F2516" i="1"/>
  <c r="E2516" i="1"/>
  <c r="D2516" i="1"/>
  <c r="C2516" i="1"/>
  <c r="B2516" i="1"/>
  <c r="A2516" i="1"/>
  <c r="J2515" i="1"/>
  <c r="I2515" i="1"/>
  <c r="H2515" i="1"/>
  <c r="G2515" i="1"/>
  <c r="F2515" i="1"/>
  <c r="E2515" i="1"/>
  <c r="D2515" i="1"/>
  <c r="C2515" i="1"/>
  <c r="B2515" i="1"/>
  <c r="A2515" i="1"/>
  <c r="J2514" i="1"/>
  <c r="I2514" i="1"/>
  <c r="H2514" i="1"/>
  <c r="G2514" i="1"/>
  <c r="F2514" i="1"/>
  <c r="E2514" i="1"/>
  <c r="D2514" i="1"/>
  <c r="C2514" i="1"/>
  <c r="B2514" i="1"/>
  <c r="A2514" i="1"/>
  <c r="J2513" i="1"/>
  <c r="I2513" i="1"/>
  <c r="H2513" i="1"/>
  <c r="G2513" i="1"/>
  <c r="F2513" i="1"/>
  <c r="E2513" i="1"/>
  <c r="D2513" i="1"/>
  <c r="C2513" i="1"/>
  <c r="B2513" i="1"/>
  <c r="A2513" i="1"/>
  <c r="J2512" i="1"/>
  <c r="I2512" i="1"/>
  <c r="H2512" i="1"/>
  <c r="G2512" i="1"/>
  <c r="F2512" i="1"/>
  <c r="E2512" i="1"/>
  <c r="D2512" i="1"/>
  <c r="C2512" i="1"/>
  <c r="B2512" i="1"/>
  <c r="A2512" i="1"/>
  <c r="J2511" i="1"/>
  <c r="I2511" i="1"/>
  <c r="H2511" i="1"/>
  <c r="G2511" i="1"/>
  <c r="F2511" i="1"/>
  <c r="E2511" i="1"/>
  <c r="D2511" i="1"/>
  <c r="C2511" i="1"/>
  <c r="B2511" i="1"/>
  <c r="A2511" i="1"/>
  <c r="J2510" i="1"/>
  <c r="I2510" i="1"/>
  <c r="H2510" i="1"/>
  <c r="G2510" i="1"/>
  <c r="F2510" i="1"/>
  <c r="E2510" i="1"/>
  <c r="D2510" i="1"/>
  <c r="C2510" i="1"/>
  <c r="B2510" i="1"/>
  <c r="A2510" i="1"/>
  <c r="J2509" i="1"/>
  <c r="I2509" i="1"/>
  <c r="H2509" i="1"/>
  <c r="G2509" i="1"/>
  <c r="F2509" i="1"/>
  <c r="E2509" i="1"/>
  <c r="D2509" i="1"/>
  <c r="C2509" i="1"/>
  <c r="B2509" i="1"/>
  <c r="A2509" i="1"/>
  <c r="J2508" i="1"/>
  <c r="I2508" i="1"/>
  <c r="H2508" i="1"/>
  <c r="G2508" i="1"/>
  <c r="F2508" i="1"/>
  <c r="E2508" i="1"/>
  <c r="D2508" i="1"/>
  <c r="C2508" i="1"/>
  <c r="B2508" i="1"/>
  <c r="A2508" i="1"/>
  <c r="J2507" i="1"/>
  <c r="I2507" i="1"/>
  <c r="H2507" i="1"/>
  <c r="G2507" i="1"/>
  <c r="F2507" i="1"/>
  <c r="E2507" i="1"/>
  <c r="D2507" i="1"/>
  <c r="C2507" i="1"/>
  <c r="B2507" i="1"/>
  <c r="A2507" i="1"/>
  <c r="J2506" i="1"/>
  <c r="I2506" i="1"/>
  <c r="H2506" i="1"/>
  <c r="G2506" i="1"/>
  <c r="F2506" i="1"/>
  <c r="E2506" i="1"/>
  <c r="D2506" i="1"/>
  <c r="C2506" i="1"/>
  <c r="B2506" i="1"/>
  <c r="A2506" i="1"/>
  <c r="J2505" i="1"/>
  <c r="I2505" i="1"/>
  <c r="H2505" i="1"/>
  <c r="G2505" i="1"/>
  <c r="F2505" i="1"/>
  <c r="E2505" i="1"/>
  <c r="D2505" i="1"/>
  <c r="C2505" i="1"/>
  <c r="B2505" i="1"/>
  <c r="A2505" i="1"/>
  <c r="J2504" i="1"/>
  <c r="I2504" i="1"/>
  <c r="H2504" i="1"/>
  <c r="G2504" i="1"/>
  <c r="F2504" i="1"/>
  <c r="E2504" i="1"/>
  <c r="D2504" i="1"/>
  <c r="C2504" i="1"/>
  <c r="B2504" i="1"/>
  <c r="A2504" i="1"/>
  <c r="J2503" i="1"/>
  <c r="I2503" i="1"/>
  <c r="H2503" i="1"/>
  <c r="G2503" i="1"/>
  <c r="F2503" i="1"/>
  <c r="E2503" i="1"/>
  <c r="D2503" i="1"/>
  <c r="C2503" i="1"/>
  <c r="B2503" i="1"/>
  <c r="A2503" i="1"/>
  <c r="J2502" i="1"/>
  <c r="I2502" i="1"/>
  <c r="H2502" i="1"/>
  <c r="G2502" i="1"/>
  <c r="F2502" i="1"/>
  <c r="E2502" i="1"/>
  <c r="D2502" i="1"/>
  <c r="C2502" i="1"/>
  <c r="B2502" i="1"/>
  <c r="A2502" i="1"/>
  <c r="J2501" i="1"/>
  <c r="I2501" i="1"/>
  <c r="H2501" i="1"/>
  <c r="G2501" i="1"/>
  <c r="F2501" i="1"/>
  <c r="E2501" i="1"/>
  <c r="D2501" i="1"/>
  <c r="C2501" i="1"/>
  <c r="B2501" i="1"/>
  <c r="A2501" i="1"/>
  <c r="J2500" i="1"/>
  <c r="I2500" i="1"/>
  <c r="H2500" i="1"/>
  <c r="G2500" i="1"/>
  <c r="F2500" i="1"/>
  <c r="E2500" i="1"/>
  <c r="D2500" i="1"/>
  <c r="C2500" i="1"/>
  <c r="B2500" i="1"/>
  <c r="A2500" i="1"/>
  <c r="J2499" i="1"/>
  <c r="I2499" i="1"/>
  <c r="H2499" i="1"/>
  <c r="G2499" i="1"/>
  <c r="F2499" i="1"/>
  <c r="E2499" i="1"/>
  <c r="D2499" i="1"/>
  <c r="C2499" i="1"/>
  <c r="B2499" i="1"/>
  <c r="A2499" i="1"/>
  <c r="J2498" i="1"/>
  <c r="I2498" i="1"/>
  <c r="H2498" i="1"/>
  <c r="G2498" i="1"/>
  <c r="F2498" i="1"/>
  <c r="E2498" i="1"/>
  <c r="D2498" i="1"/>
  <c r="C2498" i="1"/>
  <c r="B2498" i="1"/>
  <c r="A2498" i="1"/>
  <c r="J2497" i="1"/>
  <c r="I2497" i="1"/>
  <c r="H2497" i="1"/>
  <c r="G2497" i="1"/>
  <c r="F2497" i="1"/>
  <c r="E2497" i="1"/>
  <c r="D2497" i="1"/>
  <c r="C2497" i="1"/>
  <c r="B2497" i="1"/>
  <c r="A2497" i="1"/>
  <c r="J2496" i="1"/>
  <c r="I2496" i="1"/>
  <c r="H2496" i="1"/>
  <c r="G2496" i="1"/>
  <c r="F2496" i="1"/>
  <c r="E2496" i="1"/>
  <c r="D2496" i="1"/>
  <c r="C2496" i="1"/>
  <c r="B2496" i="1"/>
  <c r="A2496" i="1"/>
  <c r="J2495" i="1"/>
  <c r="I2495" i="1"/>
  <c r="H2495" i="1"/>
  <c r="G2495" i="1"/>
  <c r="F2495" i="1"/>
  <c r="E2495" i="1"/>
  <c r="D2495" i="1"/>
  <c r="C2495" i="1"/>
  <c r="B2495" i="1"/>
  <c r="A2495" i="1"/>
  <c r="J2494" i="1"/>
  <c r="I2494" i="1"/>
  <c r="H2494" i="1"/>
  <c r="G2494" i="1"/>
  <c r="F2494" i="1"/>
  <c r="E2494" i="1"/>
  <c r="D2494" i="1"/>
  <c r="C2494" i="1"/>
  <c r="B2494" i="1"/>
  <c r="A2494" i="1"/>
  <c r="J2493" i="1"/>
  <c r="I2493" i="1"/>
  <c r="H2493" i="1"/>
  <c r="G2493" i="1"/>
  <c r="F2493" i="1"/>
  <c r="E2493" i="1"/>
  <c r="D2493" i="1"/>
  <c r="C2493" i="1"/>
  <c r="B2493" i="1"/>
  <c r="A2493" i="1"/>
  <c r="J2492" i="1"/>
  <c r="I2492" i="1"/>
  <c r="H2492" i="1"/>
  <c r="G2492" i="1"/>
  <c r="F2492" i="1"/>
  <c r="E2492" i="1"/>
  <c r="D2492" i="1"/>
  <c r="C2492" i="1"/>
  <c r="B2492" i="1"/>
  <c r="A2492" i="1"/>
  <c r="J2491" i="1"/>
  <c r="I2491" i="1"/>
  <c r="H2491" i="1"/>
  <c r="G2491" i="1"/>
  <c r="F2491" i="1"/>
  <c r="E2491" i="1"/>
  <c r="D2491" i="1"/>
  <c r="C2491" i="1"/>
  <c r="B2491" i="1"/>
  <c r="A2491" i="1"/>
  <c r="J2490" i="1"/>
  <c r="I2490" i="1"/>
  <c r="H2490" i="1"/>
  <c r="G2490" i="1"/>
  <c r="F2490" i="1"/>
  <c r="E2490" i="1"/>
  <c r="D2490" i="1"/>
  <c r="C2490" i="1"/>
  <c r="B2490" i="1"/>
  <c r="A2490" i="1"/>
  <c r="J2489" i="1"/>
  <c r="I2489" i="1"/>
  <c r="H2489" i="1"/>
  <c r="G2489" i="1"/>
  <c r="F2489" i="1"/>
  <c r="E2489" i="1"/>
  <c r="D2489" i="1"/>
  <c r="C2489" i="1"/>
  <c r="B2489" i="1"/>
  <c r="A2489" i="1"/>
  <c r="J2488" i="1"/>
  <c r="I2488" i="1"/>
  <c r="H2488" i="1"/>
  <c r="G2488" i="1"/>
  <c r="F2488" i="1"/>
  <c r="E2488" i="1"/>
  <c r="D2488" i="1"/>
  <c r="C2488" i="1"/>
  <c r="B2488" i="1"/>
  <c r="A2488" i="1"/>
  <c r="J2487" i="1"/>
  <c r="I2487" i="1"/>
  <c r="H2487" i="1"/>
  <c r="G2487" i="1"/>
  <c r="F2487" i="1"/>
  <c r="E2487" i="1"/>
  <c r="D2487" i="1"/>
  <c r="C2487" i="1"/>
  <c r="B2487" i="1"/>
  <c r="A2487" i="1"/>
  <c r="J2486" i="1"/>
  <c r="I2486" i="1"/>
  <c r="H2486" i="1"/>
  <c r="G2486" i="1"/>
  <c r="F2486" i="1"/>
  <c r="E2486" i="1"/>
  <c r="D2486" i="1"/>
  <c r="C2486" i="1"/>
  <c r="B2486" i="1"/>
  <c r="A2486" i="1"/>
  <c r="J2485" i="1"/>
  <c r="I2485" i="1"/>
  <c r="H2485" i="1"/>
  <c r="G2485" i="1"/>
  <c r="F2485" i="1"/>
  <c r="E2485" i="1"/>
  <c r="D2485" i="1"/>
  <c r="C2485" i="1"/>
  <c r="B2485" i="1"/>
  <c r="A2485" i="1"/>
  <c r="J2484" i="1"/>
  <c r="I2484" i="1"/>
  <c r="H2484" i="1"/>
  <c r="G2484" i="1"/>
  <c r="F2484" i="1"/>
  <c r="E2484" i="1"/>
  <c r="D2484" i="1"/>
  <c r="C2484" i="1"/>
  <c r="B2484" i="1"/>
  <c r="A2484" i="1"/>
  <c r="J2483" i="1"/>
  <c r="I2483" i="1"/>
  <c r="H2483" i="1"/>
  <c r="G2483" i="1"/>
  <c r="F2483" i="1"/>
  <c r="E2483" i="1"/>
  <c r="D2483" i="1"/>
  <c r="C2483" i="1"/>
  <c r="B2483" i="1"/>
  <c r="A2483" i="1"/>
  <c r="J2482" i="1"/>
  <c r="I2482" i="1"/>
  <c r="H2482" i="1"/>
  <c r="G2482" i="1"/>
  <c r="F2482" i="1"/>
  <c r="E2482" i="1"/>
  <c r="D2482" i="1"/>
  <c r="C2482" i="1"/>
  <c r="B2482" i="1"/>
  <c r="A2482" i="1"/>
  <c r="J2481" i="1"/>
  <c r="I2481" i="1"/>
  <c r="H2481" i="1"/>
  <c r="G2481" i="1"/>
  <c r="F2481" i="1"/>
  <c r="E2481" i="1"/>
  <c r="D2481" i="1"/>
  <c r="C2481" i="1"/>
  <c r="B2481" i="1"/>
  <c r="A2481" i="1"/>
  <c r="J2480" i="1"/>
  <c r="I2480" i="1"/>
  <c r="H2480" i="1"/>
  <c r="G2480" i="1"/>
  <c r="F2480" i="1"/>
  <c r="E2480" i="1"/>
  <c r="D2480" i="1"/>
  <c r="C2480" i="1"/>
  <c r="B2480" i="1"/>
  <c r="A2480" i="1"/>
  <c r="J2479" i="1"/>
  <c r="I2479" i="1"/>
  <c r="H2479" i="1"/>
  <c r="G2479" i="1"/>
  <c r="F2479" i="1"/>
  <c r="E2479" i="1"/>
  <c r="D2479" i="1"/>
  <c r="C2479" i="1"/>
  <c r="B2479" i="1"/>
  <c r="A2479" i="1"/>
  <c r="J2478" i="1"/>
  <c r="I2478" i="1"/>
  <c r="H2478" i="1"/>
  <c r="G2478" i="1"/>
  <c r="F2478" i="1"/>
  <c r="E2478" i="1"/>
  <c r="D2478" i="1"/>
  <c r="C2478" i="1"/>
  <c r="B2478" i="1"/>
  <c r="A2478" i="1"/>
  <c r="J2477" i="1"/>
  <c r="I2477" i="1"/>
  <c r="H2477" i="1"/>
  <c r="G2477" i="1"/>
  <c r="F2477" i="1"/>
  <c r="E2477" i="1"/>
  <c r="C2477" i="1"/>
  <c r="B2477" i="1"/>
  <c r="A2477" i="1"/>
  <c r="J2476" i="1"/>
  <c r="I2476" i="1"/>
  <c r="H2476" i="1"/>
  <c r="G2476" i="1"/>
  <c r="F2476" i="1"/>
  <c r="E2476" i="1"/>
  <c r="D2476" i="1"/>
  <c r="C2476" i="1"/>
  <c r="B2476" i="1"/>
  <c r="A2476" i="1"/>
  <c r="J2475" i="1"/>
  <c r="I2475" i="1"/>
  <c r="H2475" i="1"/>
  <c r="G2475" i="1"/>
  <c r="F2475" i="1"/>
  <c r="E2475" i="1"/>
  <c r="D2475" i="1"/>
  <c r="C2475" i="1"/>
  <c r="B2475" i="1"/>
  <c r="A2475" i="1"/>
  <c r="J2474" i="1"/>
  <c r="I2474" i="1"/>
  <c r="H2474" i="1"/>
  <c r="G2474" i="1"/>
  <c r="F2474" i="1"/>
  <c r="E2474" i="1"/>
  <c r="D2474" i="1"/>
  <c r="C2474" i="1"/>
  <c r="B2474" i="1"/>
  <c r="A2474" i="1"/>
  <c r="J2473" i="1"/>
  <c r="I2473" i="1"/>
  <c r="H2473" i="1"/>
  <c r="G2473" i="1"/>
  <c r="F2473" i="1"/>
  <c r="E2473" i="1"/>
  <c r="D2473" i="1"/>
  <c r="C2473" i="1"/>
  <c r="B2473" i="1"/>
  <c r="A2473" i="1"/>
  <c r="J2472" i="1"/>
  <c r="I2472" i="1"/>
  <c r="H2472" i="1"/>
  <c r="G2472" i="1"/>
  <c r="F2472" i="1"/>
  <c r="E2472" i="1"/>
  <c r="D2472" i="1"/>
  <c r="C2472" i="1"/>
  <c r="B2472" i="1"/>
  <c r="A2472" i="1"/>
  <c r="J2471" i="1"/>
  <c r="I2471" i="1"/>
  <c r="H2471" i="1"/>
  <c r="G2471" i="1"/>
  <c r="F2471" i="1"/>
  <c r="E2471" i="1"/>
  <c r="D2471" i="1"/>
  <c r="C2471" i="1"/>
  <c r="B2471" i="1"/>
  <c r="A2471" i="1"/>
  <c r="J2470" i="1"/>
  <c r="I2470" i="1"/>
  <c r="H2470" i="1"/>
  <c r="G2470" i="1"/>
  <c r="F2470" i="1"/>
  <c r="E2470" i="1"/>
  <c r="D2470" i="1"/>
  <c r="C2470" i="1"/>
  <c r="B2470" i="1"/>
  <c r="A2470" i="1"/>
  <c r="J2469" i="1"/>
  <c r="I2469" i="1"/>
  <c r="H2469" i="1"/>
  <c r="G2469" i="1"/>
  <c r="F2469" i="1"/>
  <c r="E2469" i="1"/>
  <c r="D2469" i="1"/>
  <c r="C2469" i="1"/>
  <c r="B2469" i="1"/>
  <c r="A2469" i="1"/>
  <c r="J2468" i="1"/>
  <c r="I2468" i="1"/>
  <c r="H2468" i="1"/>
  <c r="G2468" i="1"/>
  <c r="F2468" i="1"/>
  <c r="E2468" i="1"/>
  <c r="D2468" i="1"/>
  <c r="C2468" i="1"/>
  <c r="B2468" i="1"/>
  <c r="A2468" i="1"/>
  <c r="J2467" i="1"/>
  <c r="I2467" i="1"/>
  <c r="H2467" i="1"/>
  <c r="G2467" i="1"/>
  <c r="F2467" i="1"/>
  <c r="E2467" i="1"/>
  <c r="D2467" i="1"/>
  <c r="C2467" i="1"/>
  <c r="B2467" i="1"/>
  <c r="A2467" i="1"/>
  <c r="J2466" i="1"/>
  <c r="I2466" i="1"/>
  <c r="H2466" i="1"/>
  <c r="G2466" i="1"/>
  <c r="F2466" i="1"/>
  <c r="E2466" i="1"/>
  <c r="D2466" i="1"/>
  <c r="C2466" i="1"/>
  <c r="B2466" i="1"/>
  <c r="A2466" i="1"/>
  <c r="J2465" i="1"/>
  <c r="I2465" i="1"/>
  <c r="H2465" i="1"/>
  <c r="G2465" i="1"/>
  <c r="F2465" i="1"/>
  <c r="E2465" i="1"/>
  <c r="D2465" i="1"/>
  <c r="C2465" i="1"/>
  <c r="B2465" i="1"/>
  <c r="A2465" i="1"/>
  <c r="J2464" i="1"/>
  <c r="I2464" i="1"/>
  <c r="H2464" i="1"/>
  <c r="G2464" i="1"/>
  <c r="F2464" i="1"/>
  <c r="E2464" i="1"/>
  <c r="D2464" i="1"/>
  <c r="C2464" i="1"/>
  <c r="B2464" i="1"/>
  <c r="A2464" i="1"/>
  <c r="J2463" i="1"/>
  <c r="I2463" i="1"/>
  <c r="H2463" i="1"/>
  <c r="G2463" i="1"/>
  <c r="F2463" i="1"/>
  <c r="E2463" i="1"/>
  <c r="D2463" i="1"/>
  <c r="C2463" i="1"/>
  <c r="B2463" i="1"/>
  <c r="A2463" i="1"/>
  <c r="J2462" i="1"/>
  <c r="I2462" i="1"/>
  <c r="H2462" i="1"/>
  <c r="G2462" i="1"/>
  <c r="F2462" i="1"/>
  <c r="E2462" i="1"/>
  <c r="D2462" i="1"/>
  <c r="C2462" i="1"/>
  <c r="B2462" i="1"/>
  <c r="A2462" i="1"/>
  <c r="J2461" i="1"/>
  <c r="I2461" i="1"/>
  <c r="H2461" i="1"/>
  <c r="G2461" i="1"/>
  <c r="F2461" i="1"/>
  <c r="E2461" i="1"/>
  <c r="D2461" i="1"/>
  <c r="C2461" i="1"/>
  <c r="B2461" i="1"/>
  <c r="A2461" i="1"/>
  <c r="J2460" i="1"/>
  <c r="I2460" i="1"/>
  <c r="H2460" i="1"/>
  <c r="G2460" i="1"/>
  <c r="F2460" i="1"/>
  <c r="E2460" i="1"/>
  <c r="D2460" i="1"/>
  <c r="C2460" i="1"/>
  <c r="B2460" i="1"/>
  <c r="A2460" i="1"/>
  <c r="J2459" i="1"/>
  <c r="I2459" i="1"/>
  <c r="H2459" i="1"/>
  <c r="G2459" i="1"/>
  <c r="F2459" i="1"/>
  <c r="E2459" i="1"/>
  <c r="D2459" i="1"/>
  <c r="C2459" i="1"/>
  <c r="B2459" i="1"/>
  <c r="A2459" i="1"/>
  <c r="J2458" i="1"/>
  <c r="I2458" i="1"/>
  <c r="H2458" i="1"/>
  <c r="G2458" i="1"/>
  <c r="F2458" i="1"/>
  <c r="E2458" i="1"/>
  <c r="D2458" i="1"/>
  <c r="C2458" i="1"/>
  <c r="B2458" i="1"/>
  <c r="A2458" i="1"/>
  <c r="J2457" i="1"/>
  <c r="I2457" i="1"/>
  <c r="H2457" i="1"/>
  <c r="G2457" i="1"/>
  <c r="F2457" i="1"/>
  <c r="E2457" i="1"/>
  <c r="D2457" i="1"/>
  <c r="C2457" i="1"/>
  <c r="B2457" i="1"/>
  <c r="A2457" i="1"/>
  <c r="J2456" i="1"/>
  <c r="I2456" i="1"/>
  <c r="H2456" i="1"/>
  <c r="G2456" i="1"/>
  <c r="F2456" i="1"/>
  <c r="E2456" i="1"/>
  <c r="D2456" i="1"/>
  <c r="C2456" i="1"/>
  <c r="B2456" i="1"/>
  <c r="A2456" i="1"/>
  <c r="J2455" i="1"/>
  <c r="I2455" i="1"/>
  <c r="H2455" i="1"/>
  <c r="G2455" i="1"/>
  <c r="F2455" i="1"/>
  <c r="E2455" i="1"/>
  <c r="D2455" i="1"/>
  <c r="C2455" i="1"/>
  <c r="B2455" i="1"/>
  <c r="A2455" i="1"/>
  <c r="J2454" i="1"/>
  <c r="I2454" i="1"/>
  <c r="H2454" i="1"/>
  <c r="G2454" i="1"/>
  <c r="F2454" i="1"/>
  <c r="E2454" i="1"/>
  <c r="D2454" i="1"/>
  <c r="C2454" i="1"/>
  <c r="B2454" i="1"/>
  <c r="A2454" i="1"/>
  <c r="J2453" i="1"/>
  <c r="I2453" i="1"/>
  <c r="H2453" i="1"/>
  <c r="G2453" i="1"/>
  <c r="F2453" i="1"/>
  <c r="E2453" i="1"/>
  <c r="D2453" i="1"/>
  <c r="C2453" i="1"/>
  <c r="B2453" i="1"/>
  <c r="A2453" i="1"/>
  <c r="J2452" i="1"/>
  <c r="I2452" i="1"/>
  <c r="H2452" i="1"/>
  <c r="G2452" i="1"/>
  <c r="F2452" i="1"/>
  <c r="E2452" i="1"/>
  <c r="D2452" i="1"/>
  <c r="C2452" i="1"/>
  <c r="B2452" i="1"/>
  <c r="A2452" i="1"/>
  <c r="J2451" i="1"/>
  <c r="I2451" i="1"/>
  <c r="H2451" i="1"/>
  <c r="G2451" i="1"/>
  <c r="F2451" i="1"/>
  <c r="E2451" i="1"/>
  <c r="D2451" i="1"/>
  <c r="C2451" i="1"/>
  <c r="B2451" i="1"/>
  <c r="A2451" i="1"/>
  <c r="J2450" i="1"/>
  <c r="I2450" i="1"/>
  <c r="H2450" i="1"/>
  <c r="G2450" i="1"/>
  <c r="F2450" i="1"/>
  <c r="E2450" i="1"/>
  <c r="D2450" i="1"/>
  <c r="C2450" i="1"/>
  <c r="B2450" i="1"/>
  <c r="A2450" i="1"/>
  <c r="J2449" i="1"/>
  <c r="I2449" i="1"/>
  <c r="H2449" i="1"/>
  <c r="G2449" i="1"/>
  <c r="F2449" i="1"/>
  <c r="E2449" i="1"/>
  <c r="D2449" i="1"/>
  <c r="C2449" i="1"/>
  <c r="B2449" i="1"/>
  <c r="A2449" i="1"/>
  <c r="J2448" i="1"/>
  <c r="I2448" i="1"/>
  <c r="H2448" i="1"/>
  <c r="G2448" i="1"/>
  <c r="F2448" i="1"/>
  <c r="E2448" i="1"/>
  <c r="D2448" i="1"/>
  <c r="C2448" i="1"/>
  <c r="B2448" i="1"/>
  <c r="A2448" i="1"/>
  <c r="J2447" i="1"/>
  <c r="I2447" i="1"/>
  <c r="H2447" i="1"/>
  <c r="G2447" i="1"/>
  <c r="F2447" i="1"/>
  <c r="E2447" i="1"/>
  <c r="D2447" i="1"/>
  <c r="C2447" i="1"/>
  <c r="B2447" i="1"/>
  <c r="A2447" i="1"/>
  <c r="J2446" i="1"/>
  <c r="I2446" i="1"/>
  <c r="H2446" i="1"/>
  <c r="G2446" i="1"/>
  <c r="F2446" i="1"/>
  <c r="E2446" i="1"/>
  <c r="D2446" i="1"/>
  <c r="C2446" i="1"/>
  <c r="B2446" i="1"/>
  <c r="A2446" i="1"/>
  <c r="J2445" i="1"/>
  <c r="I2445" i="1"/>
  <c r="H2445" i="1"/>
  <c r="G2445" i="1"/>
  <c r="F2445" i="1"/>
  <c r="E2445" i="1"/>
  <c r="D2445" i="1"/>
  <c r="C2445" i="1"/>
  <c r="B2445" i="1"/>
  <c r="A2445" i="1"/>
  <c r="J2444" i="1"/>
  <c r="I2444" i="1"/>
  <c r="H2444" i="1"/>
  <c r="G2444" i="1"/>
  <c r="F2444" i="1"/>
  <c r="E2444" i="1"/>
  <c r="D2444" i="1"/>
  <c r="C2444" i="1"/>
  <c r="B2444" i="1"/>
  <c r="A2444" i="1"/>
  <c r="J2443" i="1"/>
  <c r="I2443" i="1"/>
  <c r="H2443" i="1"/>
  <c r="G2443" i="1"/>
  <c r="F2443" i="1"/>
  <c r="E2443" i="1"/>
  <c r="D2443" i="1"/>
  <c r="C2443" i="1"/>
  <c r="B2443" i="1"/>
  <c r="A2443" i="1"/>
  <c r="J2442" i="1"/>
  <c r="I2442" i="1"/>
  <c r="H2442" i="1"/>
  <c r="G2442" i="1"/>
  <c r="F2442" i="1"/>
  <c r="E2442" i="1"/>
  <c r="D2442" i="1"/>
  <c r="C2442" i="1"/>
  <c r="B2442" i="1"/>
  <c r="A2442" i="1"/>
  <c r="J2441" i="1"/>
  <c r="I2441" i="1"/>
  <c r="H2441" i="1"/>
  <c r="G2441" i="1"/>
  <c r="F2441" i="1"/>
  <c r="E2441" i="1"/>
  <c r="D2441" i="1"/>
  <c r="C2441" i="1"/>
  <c r="B2441" i="1"/>
  <c r="A2441" i="1"/>
  <c r="J2440" i="1"/>
  <c r="I2440" i="1"/>
  <c r="H2440" i="1"/>
  <c r="G2440" i="1"/>
  <c r="F2440" i="1"/>
  <c r="E2440" i="1"/>
  <c r="D2440" i="1"/>
  <c r="C2440" i="1"/>
  <c r="B2440" i="1"/>
  <c r="A2440" i="1"/>
  <c r="J2439" i="1"/>
  <c r="I2439" i="1"/>
  <c r="H2439" i="1"/>
  <c r="G2439" i="1"/>
  <c r="F2439" i="1"/>
  <c r="E2439" i="1"/>
  <c r="C2439" i="1"/>
  <c r="B2439" i="1"/>
  <c r="A2439" i="1"/>
  <c r="J2438" i="1"/>
  <c r="I2438" i="1"/>
  <c r="H2438" i="1"/>
  <c r="G2438" i="1"/>
  <c r="F2438" i="1"/>
  <c r="E2438" i="1"/>
  <c r="D2438" i="1"/>
  <c r="C2438" i="1"/>
  <c r="B2438" i="1"/>
  <c r="A2438" i="1"/>
  <c r="J2437" i="1"/>
  <c r="I2437" i="1"/>
  <c r="H2437" i="1"/>
  <c r="G2437" i="1"/>
  <c r="F2437" i="1"/>
  <c r="E2437" i="1"/>
  <c r="D2437" i="1"/>
  <c r="C2437" i="1"/>
  <c r="B2437" i="1"/>
  <c r="A2437" i="1"/>
  <c r="J2436" i="1"/>
  <c r="I2436" i="1"/>
  <c r="H2436" i="1"/>
  <c r="G2436" i="1"/>
  <c r="F2436" i="1"/>
  <c r="E2436" i="1"/>
  <c r="D2436" i="1"/>
  <c r="C2436" i="1"/>
  <c r="B2436" i="1"/>
  <c r="A2436" i="1"/>
  <c r="J2435" i="1"/>
  <c r="I2435" i="1"/>
  <c r="H2435" i="1"/>
  <c r="G2435" i="1"/>
  <c r="F2435" i="1"/>
  <c r="E2435" i="1"/>
  <c r="D2435" i="1"/>
  <c r="C2435" i="1"/>
  <c r="B2435" i="1"/>
  <c r="A2435" i="1"/>
  <c r="J2434" i="1"/>
  <c r="I2434" i="1"/>
  <c r="H2434" i="1"/>
  <c r="G2434" i="1"/>
  <c r="F2434" i="1"/>
  <c r="E2434" i="1"/>
  <c r="D2434" i="1"/>
  <c r="C2434" i="1"/>
  <c r="B2434" i="1"/>
  <c r="A2434" i="1"/>
  <c r="J2433" i="1"/>
  <c r="I2433" i="1"/>
  <c r="H2433" i="1"/>
  <c r="G2433" i="1"/>
  <c r="F2433" i="1"/>
  <c r="E2433" i="1"/>
  <c r="D2433" i="1"/>
  <c r="C2433" i="1"/>
  <c r="B2433" i="1"/>
  <c r="A2433" i="1"/>
  <c r="J2432" i="1"/>
  <c r="I2432" i="1"/>
  <c r="H2432" i="1"/>
  <c r="G2432" i="1"/>
  <c r="F2432" i="1"/>
  <c r="E2432" i="1"/>
  <c r="D2432" i="1"/>
  <c r="C2432" i="1"/>
  <c r="B2432" i="1"/>
  <c r="A2432" i="1"/>
  <c r="J2431" i="1"/>
  <c r="I2431" i="1"/>
  <c r="H2431" i="1"/>
  <c r="G2431" i="1"/>
  <c r="F2431" i="1"/>
  <c r="E2431" i="1"/>
  <c r="D2431" i="1"/>
  <c r="C2431" i="1"/>
  <c r="B2431" i="1"/>
  <c r="A2431" i="1"/>
  <c r="J2430" i="1"/>
  <c r="I2430" i="1"/>
  <c r="H2430" i="1"/>
  <c r="G2430" i="1"/>
  <c r="F2430" i="1"/>
  <c r="E2430" i="1"/>
  <c r="D2430" i="1"/>
  <c r="C2430" i="1"/>
  <c r="B2430" i="1"/>
  <c r="A2430" i="1"/>
  <c r="J2429" i="1"/>
  <c r="I2429" i="1"/>
  <c r="H2429" i="1"/>
  <c r="G2429" i="1"/>
  <c r="F2429" i="1"/>
  <c r="E2429" i="1"/>
  <c r="D2429" i="1"/>
  <c r="C2429" i="1"/>
  <c r="B2429" i="1"/>
  <c r="A2429" i="1"/>
  <c r="J2428" i="1"/>
  <c r="I2428" i="1"/>
  <c r="H2428" i="1"/>
  <c r="G2428" i="1"/>
  <c r="F2428" i="1"/>
  <c r="E2428" i="1"/>
  <c r="D2428" i="1"/>
  <c r="C2428" i="1"/>
  <c r="B2428" i="1"/>
  <c r="A2428" i="1"/>
  <c r="J2427" i="1"/>
  <c r="I2427" i="1"/>
  <c r="H2427" i="1"/>
  <c r="G2427" i="1"/>
  <c r="F2427" i="1"/>
  <c r="E2427" i="1"/>
  <c r="D2427" i="1"/>
  <c r="C2427" i="1"/>
  <c r="B2427" i="1"/>
  <c r="A2427" i="1"/>
  <c r="J2426" i="1"/>
  <c r="I2426" i="1"/>
  <c r="H2426" i="1"/>
  <c r="G2426" i="1"/>
  <c r="F2426" i="1"/>
  <c r="E2426" i="1"/>
  <c r="D2426" i="1"/>
  <c r="C2426" i="1"/>
  <c r="B2426" i="1"/>
  <c r="A2426" i="1"/>
  <c r="J2425" i="1"/>
  <c r="I2425" i="1"/>
  <c r="H2425" i="1"/>
  <c r="G2425" i="1"/>
  <c r="F2425" i="1"/>
  <c r="E2425" i="1"/>
  <c r="D2425" i="1"/>
  <c r="C2425" i="1"/>
  <c r="B2425" i="1"/>
  <c r="A2425" i="1"/>
  <c r="J2424" i="1"/>
  <c r="I2424" i="1"/>
  <c r="H2424" i="1"/>
  <c r="G2424" i="1"/>
  <c r="F2424" i="1"/>
  <c r="E2424" i="1"/>
  <c r="D2424" i="1"/>
  <c r="C2424" i="1"/>
  <c r="B2424" i="1"/>
  <c r="A2424" i="1"/>
  <c r="J2423" i="1"/>
  <c r="I2423" i="1"/>
  <c r="H2423" i="1"/>
  <c r="G2423" i="1"/>
  <c r="F2423" i="1"/>
  <c r="E2423" i="1"/>
  <c r="D2423" i="1"/>
  <c r="C2423" i="1"/>
  <c r="B2423" i="1"/>
  <c r="A2423" i="1"/>
  <c r="J2422" i="1"/>
  <c r="I2422" i="1"/>
  <c r="H2422" i="1"/>
  <c r="G2422" i="1"/>
  <c r="F2422" i="1"/>
  <c r="E2422" i="1"/>
  <c r="D2422" i="1"/>
  <c r="C2422" i="1"/>
  <c r="B2422" i="1"/>
  <c r="A2422" i="1"/>
  <c r="J2421" i="1"/>
  <c r="I2421" i="1"/>
  <c r="H2421" i="1"/>
  <c r="G2421" i="1"/>
  <c r="F2421" i="1"/>
  <c r="E2421" i="1"/>
  <c r="D2421" i="1"/>
  <c r="C2421" i="1"/>
  <c r="B2421" i="1"/>
  <c r="A2421" i="1"/>
  <c r="J2420" i="1"/>
  <c r="I2420" i="1"/>
  <c r="H2420" i="1"/>
  <c r="G2420" i="1"/>
  <c r="F2420" i="1"/>
  <c r="E2420" i="1"/>
  <c r="D2420" i="1"/>
  <c r="C2420" i="1"/>
  <c r="B2420" i="1"/>
  <c r="A2420" i="1"/>
  <c r="J2419" i="1"/>
  <c r="I2419" i="1"/>
  <c r="H2419" i="1"/>
  <c r="G2419" i="1"/>
  <c r="F2419" i="1"/>
  <c r="E2419" i="1"/>
  <c r="D2419" i="1"/>
  <c r="C2419" i="1"/>
  <c r="B2419" i="1"/>
  <c r="A2419" i="1"/>
  <c r="J2418" i="1"/>
  <c r="I2418" i="1"/>
  <c r="H2418" i="1"/>
  <c r="G2418" i="1"/>
  <c r="F2418" i="1"/>
  <c r="E2418" i="1"/>
  <c r="D2418" i="1"/>
  <c r="C2418" i="1"/>
  <c r="B2418" i="1"/>
  <c r="A2418" i="1"/>
  <c r="J2417" i="1"/>
  <c r="I2417" i="1"/>
  <c r="H2417" i="1"/>
  <c r="G2417" i="1"/>
  <c r="F2417" i="1"/>
  <c r="E2417" i="1"/>
  <c r="D2417" i="1"/>
  <c r="C2417" i="1"/>
  <c r="B2417" i="1"/>
  <c r="A2417" i="1"/>
  <c r="J2416" i="1"/>
  <c r="I2416" i="1"/>
  <c r="H2416" i="1"/>
  <c r="G2416" i="1"/>
  <c r="F2416" i="1"/>
  <c r="E2416" i="1"/>
  <c r="D2416" i="1"/>
  <c r="C2416" i="1"/>
  <c r="B2416" i="1"/>
  <c r="A2416" i="1"/>
  <c r="J2415" i="1"/>
  <c r="I2415" i="1"/>
  <c r="H2415" i="1"/>
  <c r="G2415" i="1"/>
  <c r="F2415" i="1"/>
  <c r="E2415" i="1"/>
  <c r="D2415" i="1"/>
  <c r="C2415" i="1"/>
  <c r="B2415" i="1"/>
  <c r="A2415" i="1"/>
  <c r="J2414" i="1"/>
  <c r="I2414" i="1"/>
  <c r="H2414" i="1"/>
  <c r="G2414" i="1"/>
  <c r="F2414" i="1"/>
  <c r="E2414" i="1"/>
  <c r="D2414" i="1"/>
  <c r="C2414" i="1"/>
  <c r="B2414" i="1"/>
  <c r="A2414" i="1"/>
  <c r="J2413" i="1"/>
  <c r="I2413" i="1"/>
  <c r="H2413" i="1"/>
  <c r="G2413" i="1"/>
  <c r="F2413" i="1"/>
  <c r="E2413" i="1"/>
  <c r="D2413" i="1"/>
  <c r="C2413" i="1"/>
  <c r="B2413" i="1"/>
  <c r="A2413" i="1"/>
  <c r="J2412" i="1"/>
  <c r="I2412" i="1"/>
  <c r="H2412" i="1"/>
  <c r="G2412" i="1"/>
  <c r="F2412" i="1"/>
  <c r="E2412" i="1"/>
  <c r="D2412" i="1"/>
  <c r="C2412" i="1"/>
  <c r="B2412" i="1"/>
  <c r="A2412" i="1"/>
  <c r="J2411" i="1"/>
  <c r="I2411" i="1"/>
  <c r="H2411" i="1"/>
  <c r="G2411" i="1"/>
  <c r="F2411" i="1"/>
  <c r="E2411" i="1"/>
  <c r="D2411" i="1"/>
  <c r="C2411" i="1"/>
  <c r="B2411" i="1"/>
  <c r="A2411" i="1"/>
  <c r="J2410" i="1"/>
  <c r="I2410" i="1"/>
  <c r="H2410" i="1"/>
  <c r="G2410" i="1"/>
  <c r="F2410" i="1"/>
  <c r="E2410" i="1"/>
  <c r="D2410" i="1"/>
  <c r="C2410" i="1"/>
  <c r="B2410" i="1"/>
  <c r="A2410" i="1"/>
  <c r="J2409" i="1"/>
  <c r="I2409" i="1"/>
  <c r="H2409" i="1"/>
  <c r="G2409" i="1"/>
  <c r="F2409" i="1"/>
  <c r="E2409" i="1"/>
  <c r="D2409" i="1"/>
  <c r="C2409" i="1"/>
  <c r="B2409" i="1"/>
  <c r="A2409" i="1"/>
  <c r="J2408" i="1"/>
  <c r="I2408" i="1"/>
  <c r="H2408" i="1"/>
  <c r="G2408" i="1"/>
  <c r="F2408" i="1"/>
  <c r="E2408" i="1"/>
  <c r="D2408" i="1"/>
  <c r="C2408" i="1"/>
  <c r="B2408" i="1"/>
  <c r="A2408" i="1"/>
  <c r="J2407" i="1"/>
  <c r="I2407" i="1"/>
  <c r="H2407" i="1"/>
  <c r="G2407" i="1"/>
  <c r="F2407" i="1"/>
  <c r="E2407" i="1"/>
  <c r="D2407" i="1"/>
  <c r="C2407" i="1"/>
  <c r="B2407" i="1"/>
  <c r="A2407" i="1"/>
  <c r="J2406" i="1"/>
  <c r="I2406" i="1"/>
  <c r="H2406" i="1"/>
  <c r="G2406" i="1"/>
  <c r="F2406" i="1"/>
  <c r="E2406" i="1"/>
  <c r="D2406" i="1"/>
  <c r="C2406" i="1"/>
  <c r="B2406" i="1"/>
  <c r="A2406" i="1"/>
  <c r="J2405" i="1"/>
  <c r="I2405" i="1"/>
  <c r="H2405" i="1"/>
  <c r="G2405" i="1"/>
  <c r="F2405" i="1"/>
  <c r="E2405" i="1"/>
  <c r="D2405" i="1"/>
  <c r="C2405" i="1"/>
  <c r="B2405" i="1"/>
  <c r="A2405" i="1"/>
  <c r="J2404" i="1"/>
  <c r="I2404" i="1"/>
  <c r="H2404" i="1"/>
  <c r="G2404" i="1"/>
  <c r="F2404" i="1"/>
  <c r="E2404" i="1"/>
  <c r="D2404" i="1"/>
  <c r="C2404" i="1"/>
  <c r="B2404" i="1"/>
  <c r="A2404" i="1"/>
  <c r="J2403" i="1"/>
  <c r="I2403" i="1"/>
  <c r="H2403" i="1"/>
  <c r="G2403" i="1"/>
  <c r="F2403" i="1"/>
  <c r="E2403" i="1"/>
  <c r="D2403" i="1"/>
  <c r="C2403" i="1"/>
  <c r="B2403" i="1"/>
  <c r="A2403" i="1"/>
  <c r="J2402" i="1"/>
  <c r="I2402" i="1"/>
  <c r="H2402" i="1"/>
  <c r="G2402" i="1"/>
  <c r="F2402" i="1"/>
  <c r="E2402" i="1"/>
  <c r="D2402" i="1"/>
  <c r="C2402" i="1"/>
  <c r="B2402" i="1"/>
  <c r="A2402" i="1"/>
  <c r="J2401" i="1"/>
  <c r="I2401" i="1"/>
  <c r="H2401" i="1"/>
  <c r="G2401" i="1"/>
  <c r="F2401" i="1"/>
  <c r="E2401" i="1"/>
  <c r="D2401" i="1"/>
  <c r="C2401" i="1"/>
  <c r="B2401" i="1"/>
  <c r="A2401" i="1"/>
  <c r="J2400" i="1"/>
  <c r="I2400" i="1"/>
  <c r="H2400" i="1"/>
  <c r="G2400" i="1"/>
  <c r="F2400" i="1"/>
  <c r="E2400" i="1"/>
  <c r="D2400" i="1"/>
  <c r="C2400" i="1"/>
  <c r="B2400" i="1"/>
  <c r="A2400" i="1"/>
  <c r="J2399" i="1"/>
  <c r="I2399" i="1"/>
  <c r="H2399" i="1"/>
  <c r="G2399" i="1"/>
  <c r="F2399" i="1"/>
  <c r="E2399" i="1"/>
  <c r="D2399" i="1"/>
  <c r="C2399" i="1"/>
  <c r="B2399" i="1"/>
  <c r="A2399" i="1"/>
  <c r="J2398" i="1"/>
  <c r="I2398" i="1"/>
  <c r="H2398" i="1"/>
  <c r="G2398" i="1"/>
  <c r="F2398" i="1"/>
  <c r="E2398" i="1"/>
  <c r="D2398" i="1"/>
  <c r="C2398" i="1"/>
  <c r="B2398" i="1"/>
  <c r="A2398" i="1"/>
  <c r="J2397" i="1"/>
  <c r="I2397" i="1"/>
  <c r="H2397" i="1"/>
  <c r="G2397" i="1"/>
  <c r="F2397" i="1"/>
  <c r="E2397" i="1"/>
  <c r="D2397" i="1"/>
  <c r="C2397" i="1"/>
  <c r="B2397" i="1"/>
  <c r="A2397" i="1"/>
  <c r="J2396" i="1"/>
  <c r="I2396" i="1"/>
  <c r="H2396" i="1"/>
  <c r="G2396" i="1"/>
  <c r="F2396" i="1"/>
  <c r="E2396" i="1"/>
  <c r="D2396" i="1"/>
  <c r="C2396" i="1"/>
  <c r="B2396" i="1"/>
  <c r="A2396" i="1"/>
  <c r="J2395" i="1"/>
  <c r="I2395" i="1"/>
  <c r="H2395" i="1"/>
  <c r="G2395" i="1"/>
  <c r="F2395" i="1"/>
  <c r="E2395" i="1"/>
  <c r="D2395" i="1"/>
  <c r="C2395" i="1"/>
  <c r="B2395" i="1"/>
  <c r="A2395" i="1"/>
  <c r="J2394" i="1"/>
  <c r="I2394" i="1"/>
  <c r="H2394" i="1"/>
  <c r="G2394" i="1"/>
  <c r="F2394" i="1"/>
  <c r="E2394" i="1"/>
  <c r="D2394" i="1"/>
  <c r="C2394" i="1"/>
  <c r="B2394" i="1"/>
  <c r="A2394" i="1"/>
  <c r="J2393" i="1"/>
  <c r="I2393" i="1"/>
  <c r="H2393" i="1"/>
  <c r="G2393" i="1"/>
  <c r="F2393" i="1"/>
  <c r="E2393" i="1"/>
  <c r="D2393" i="1"/>
  <c r="C2393" i="1"/>
  <c r="B2393" i="1"/>
  <c r="A2393" i="1"/>
  <c r="J2392" i="1"/>
  <c r="I2392" i="1"/>
  <c r="H2392" i="1"/>
  <c r="G2392" i="1"/>
  <c r="F2392" i="1"/>
  <c r="E2392" i="1"/>
  <c r="D2392" i="1"/>
  <c r="C2392" i="1"/>
  <c r="B2392" i="1"/>
  <c r="A2392" i="1"/>
  <c r="J2391" i="1"/>
  <c r="I2391" i="1"/>
  <c r="H2391" i="1"/>
  <c r="G2391" i="1"/>
  <c r="F2391" i="1"/>
  <c r="E2391" i="1"/>
  <c r="D2391" i="1"/>
  <c r="C2391" i="1"/>
  <c r="B2391" i="1"/>
  <c r="A2391" i="1"/>
  <c r="J2390" i="1"/>
  <c r="I2390" i="1"/>
  <c r="H2390" i="1"/>
  <c r="G2390" i="1"/>
  <c r="F2390" i="1"/>
  <c r="E2390" i="1"/>
  <c r="D2390" i="1"/>
  <c r="C2390" i="1"/>
  <c r="B2390" i="1"/>
  <c r="A2390" i="1"/>
  <c r="J2389" i="1"/>
  <c r="I2389" i="1"/>
  <c r="H2389" i="1"/>
  <c r="G2389" i="1"/>
  <c r="F2389" i="1"/>
  <c r="E2389" i="1"/>
  <c r="D2389" i="1"/>
  <c r="C2389" i="1"/>
  <c r="B2389" i="1"/>
  <c r="A2389" i="1"/>
  <c r="J2388" i="1"/>
  <c r="I2388" i="1"/>
  <c r="H2388" i="1"/>
  <c r="G2388" i="1"/>
  <c r="F2388" i="1"/>
  <c r="E2388" i="1"/>
  <c r="D2388" i="1"/>
  <c r="C2388" i="1"/>
  <c r="B2388" i="1"/>
  <c r="A2388" i="1"/>
  <c r="J2387" i="1"/>
  <c r="I2387" i="1"/>
  <c r="H2387" i="1"/>
  <c r="G2387" i="1"/>
  <c r="F2387" i="1"/>
  <c r="E2387" i="1"/>
  <c r="D2387" i="1"/>
  <c r="C2387" i="1"/>
  <c r="B2387" i="1"/>
  <c r="A2387" i="1"/>
  <c r="J2386" i="1"/>
  <c r="I2386" i="1"/>
  <c r="H2386" i="1"/>
  <c r="G2386" i="1"/>
  <c r="F2386" i="1"/>
  <c r="E2386" i="1"/>
  <c r="D2386" i="1"/>
  <c r="C2386" i="1"/>
  <c r="B2386" i="1"/>
  <c r="A2386" i="1"/>
  <c r="J2385" i="1"/>
  <c r="I2385" i="1"/>
  <c r="H2385" i="1"/>
  <c r="G2385" i="1"/>
  <c r="F2385" i="1"/>
  <c r="E2385" i="1"/>
  <c r="D2385" i="1"/>
  <c r="C2385" i="1"/>
  <c r="B2385" i="1"/>
  <c r="A2385" i="1"/>
  <c r="J2384" i="1"/>
  <c r="I2384" i="1"/>
  <c r="H2384" i="1"/>
  <c r="G2384" i="1"/>
  <c r="F2384" i="1"/>
  <c r="E2384" i="1"/>
  <c r="D2384" i="1"/>
  <c r="C2384" i="1"/>
  <c r="B2384" i="1"/>
  <c r="A2384" i="1"/>
  <c r="J2383" i="1"/>
  <c r="I2383" i="1"/>
  <c r="H2383" i="1"/>
  <c r="G2383" i="1"/>
  <c r="F2383" i="1"/>
  <c r="E2383" i="1"/>
  <c r="D2383" i="1"/>
  <c r="C2383" i="1"/>
  <c r="B2383" i="1"/>
  <c r="A2383" i="1"/>
  <c r="J2382" i="1"/>
  <c r="I2382" i="1"/>
  <c r="H2382" i="1"/>
  <c r="G2382" i="1"/>
  <c r="F2382" i="1"/>
  <c r="E2382" i="1"/>
  <c r="D2382" i="1"/>
  <c r="C2382" i="1"/>
  <c r="B2382" i="1"/>
  <c r="A2382" i="1"/>
  <c r="J2381" i="1"/>
  <c r="I2381" i="1"/>
  <c r="H2381" i="1"/>
  <c r="G2381" i="1"/>
  <c r="F2381" i="1"/>
  <c r="E2381" i="1"/>
  <c r="D2381" i="1"/>
  <c r="C2381" i="1"/>
  <c r="B2381" i="1"/>
  <c r="A2381" i="1"/>
  <c r="J2380" i="1"/>
  <c r="I2380" i="1"/>
  <c r="H2380" i="1"/>
  <c r="G2380" i="1"/>
  <c r="F2380" i="1"/>
  <c r="E2380" i="1"/>
  <c r="D2380" i="1"/>
  <c r="C2380" i="1"/>
  <c r="B2380" i="1"/>
  <c r="A2380" i="1"/>
  <c r="J2379" i="1"/>
  <c r="I2379" i="1"/>
  <c r="H2379" i="1"/>
  <c r="G2379" i="1"/>
  <c r="F2379" i="1"/>
  <c r="E2379" i="1"/>
  <c r="C2379" i="1"/>
  <c r="B2379" i="1"/>
  <c r="A2379" i="1"/>
  <c r="J2378" i="1"/>
  <c r="I2378" i="1"/>
  <c r="H2378" i="1"/>
  <c r="G2378" i="1"/>
  <c r="F2378" i="1"/>
  <c r="E2378" i="1"/>
  <c r="D2378" i="1"/>
  <c r="C2378" i="1"/>
  <c r="B2378" i="1"/>
  <c r="A2378" i="1"/>
  <c r="J2377" i="1"/>
  <c r="I2377" i="1"/>
  <c r="H2377" i="1"/>
  <c r="G2377" i="1"/>
  <c r="F2377" i="1"/>
  <c r="E2377" i="1"/>
  <c r="D2377" i="1"/>
  <c r="C2377" i="1"/>
  <c r="B2377" i="1"/>
  <c r="A2377" i="1"/>
  <c r="J2376" i="1"/>
  <c r="I2376" i="1"/>
  <c r="H2376" i="1"/>
  <c r="G2376" i="1"/>
  <c r="F2376" i="1"/>
  <c r="E2376" i="1"/>
  <c r="D2376" i="1"/>
  <c r="C2376" i="1"/>
  <c r="B2376" i="1"/>
  <c r="A2376" i="1"/>
  <c r="J2375" i="1"/>
  <c r="I2375" i="1"/>
  <c r="H2375" i="1"/>
  <c r="G2375" i="1"/>
  <c r="F2375" i="1"/>
  <c r="E2375" i="1"/>
  <c r="D2375" i="1"/>
  <c r="C2375" i="1"/>
  <c r="B2375" i="1"/>
  <c r="A2375" i="1"/>
  <c r="J2374" i="1"/>
  <c r="I2374" i="1"/>
  <c r="H2374" i="1"/>
  <c r="G2374" i="1"/>
  <c r="F2374" i="1"/>
  <c r="E2374" i="1"/>
  <c r="D2374" i="1"/>
  <c r="C2374" i="1"/>
  <c r="B2374" i="1"/>
  <c r="A2374" i="1"/>
  <c r="J2373" i="1"/>
  <c r="I2373" i="1"/>
  <c r="H2373" i="1"/>
  <c r="G2373" i="1"/>
  <c r="F2373" i="1"/>
  <c r="E2373" i="1"/>
  <c r="C2373" i="1"/>
  <c r="B2373" i="1"/>
  <c r="A2373" i="1"/>
  <c r="J2372" i="1"/>
  <c r="I2372" i="1"/>
  <c r="H2372" i="1"/>
  <c r="G2372" i="1"/>
  <c r="F2372" i="1"/>
  <c r="E2372" i="1"/>
  <c r="D2372" i="1"/>
  <c r="C2372" i="1"/>
  <c r="B2372" i="1"/>
  <c r="A2372" i="1"/>
  <c r="J2371" i="1"/>
  <c r="I2371" i="1"/>
  <c r="H2371" i="1"/>
  <c r="G2371" i="1"/>
  <c r="F2371" i="1"/>
  <c r="E2371" i="1"/>
  <c r="D2371" i="1"/>
  <c r="C2371" i="1"/>
  <c r="B2371" i="1"/>
  <c r="A2371" i="1"/>
  <c r="J2370" i="1"/>
  <c r="I2370" i="1"/>
  <c r="H2370" i="1"/>
  <c r="G2370" i="1"/>
  <c r="F2370" i="1"/>
  <c r="E2370" i="1"/>
  <c r="D2370" i="1"/>
  <c r="C2370" i="1"/>
  <c r="B2370" i="1"/>
  <c r="A2370" i="1"/>
  <c r="J2369" i="1"/>
  <c r="I2369" i="1"/>
  <c r="H2369" i="1"/>
  <c r="G2369" i="1"/>
  <c r="F2369" i="1"/>
  <c r="E2369" i="1"/>
  <c r="D2369" i="1"/>
  <c r="C2369" i="1"/>
  <c r="B2369" i="1"/>
  <c r="A2369" i="1"/>
  <c r="J2368" i="1"/>
  <c r="I2368" i="1"/>
  <c r="H2368" i="1"/>
  <c r="G2368" i="1"/>
  <c r="F2368" i="1"/>
  <c r="E2368" i="1"/>
  <c r="D2368" i="1"/>
  <c r="C2368" i="1"/>
  <c r="B2368" i="1"/>
  <c r="A2368" i="1"/>
  <c r="J2367" i="1"/>
  <c r="I2367" i="1"/>
  <c r="H2367" i="1"/>
  <c r="G2367" i="1"/>
  <c r="F2367" i="1"/>
  <c r="E2367" i="1"/>
  <c r="D2367" i="1"/>
  <c r="C2367" i="1"/>
  <c r="B2367" i="1"/>
  <c r="A2367" i="1"/>
  <c r="J2366" i="1"/>
  <c r="I2366" i="1"/>
  <c r="H2366" i="1"/>
  <c r="G2366" i="1"/>
  <c r="F2366" i="1"/>
  <c r="E2366" i="1"/>
  <c r="D2366" i="1"/>
  <c r="C2366" i="1"/>
  <c r="B2366" i="1"/>
  <c r="A2366" i="1"/>
  <c r="J2365" i="1"/>
  <c r="I2365" i="1"/>
  <c r="H2365" i="1"/>
  <c r="G2365" i="1"/>
  <c r="F2365" i="1"/>
  <c r="E2365" i="1"/>
  <c r="D2365" i="1"/>
  <c r="C2365" i="1"/>
  <c r="B2365" i="1"/>
  <c r="A2365" i="1"/>
  <c r="J2364" i="1"/>
  <c r="I2364" i="1"/>
  <c r="H2364" i="1"/>
  <c r="G2364" i="1"/>
  <c r="F2364" i="1"/>
  <c r="E2364" i="1"/>
  <c r="D2364" i="1"/>
  <c r="C2364" i="1"/>
  <c r="B2364" i="1"/>
  <c r="A2364" i="1"/>
  <c r="J2363" i="1"/>
  <c r="I2363" i="1"/>
  <c r="H2363" i="1"/>
  <c r="G2363" i="1"/>
  <c r="F2363" i="1"/>
  <c r="E2363" i="1"/>
  <c r="C2363" i="1"/>
  <c r="B2363" i="1"/>
  <c r="A2363" i="1"/>
  <c r="J2362" i="1"/>
  <c r="I2362" i="1"/>
  <c r="H2362" i="1"/>
  <c r="G2362" i="1"/>
  <c r="F2362" i="1"/>
  <c r="E2362" i="1"/>
  <c r="C2362" i="1"/>
  <c r="B2362" i="1"/>
  <c r="A2362" i="1"/>
  <c r="J2361" i="1"/>
  <c r="I2361" i="1"/>
  <c r="H2361" i="1"/>
  <c r="G2361" i="1"/>
  <c r="F2361" i="1"/>
  <c r="E2361" i="1"/>
  <c r="D2361" i="1"/>
  <c r="C2361" i="1"/>
  <c r="B2361" i="1"/>
  <c r="A2361" i="1"/>
  <c r="J2360" i="1"/>
  <c r="I2360" i="1"/>
  <c r="H2360" i="1"/>
  <c r="G2360" i="1"/>
  <c r="F2360" i="1"/>
  <c r="E2360" i="1"/>
  <c r="D2360" i="1"/>
  <c r="C2360" i="1"/>
  <c r="B2360" i="1"/>
  <c r="A2360" i="1"/>
  <c r="J2359" i="1"/>
  <c r="I2359" i="1"/>
  <c r="H2359" i="1"/>
  <c r="G2359" i="1"/>
  <c r="F2359" i="1"/>
  <c r="E2359" i="1"/>
  <c r="D2359" i="1"/>
  <c r="C2359" i="1"/>
  <c r="B2359" i="1"/>
  <c r="A2359" i="1"/>
  <c r="J2358" i="1"/>
  <c r="I2358" i="1"/>
  <c r="H2358" i="1"/>
  <c r="G2358" i="1"/>
  <c r="F2358" i="1"/>
  <c r="E2358" i="1"/>
  <c r="D2358" i="1"/>
  <c r="C2358" i="1"/>
  <c r="B2358" i="1"/>
  <c r="A2358" i="1"/>
  <c r="J2357" i="1"/>
  <c r="I2357" i="1"/>
  <c r="H2357" i="1"/>
  <c r="G2357" i="1"/>
  <c r="F2357" i="1"/>
  <c r="E2357" i="1"/>
  <c r="D2357" i="1"/>
  <c r="C2357" i="1"/>
  <c r="B2357" i="1"/>
  <c r="A2357" i="1"/>
  <c r="J2356" i="1"/>
  <c r="I2356" i="1"/>
  <c r="H2356" i="1"/>
  <c r="G2356" i="1"/>
  <c r="F2356" i="1"/>
  <c r="E2356" i="1"/>
  <c r="D2356" i="1"/>
  <c r="C2356" i="1"/>
  <c r="B2356" i="1"/>
  <c r="A2356" i="1"/>
  <c r="J2355" i="1"/>
  <c r="I2355" i="1"/>
  <c r="H2355" i="1"/>
  <c r="G2355" i="1"/>
  <c r="F2355" i="1"/>
  <c r="E2355" i="1"/>
  <c r="D2355" i="1"/>
  <c r="C2355" i="1"/>
  <c r="B2355" i="1"/>
  <c r="A2355" i="1"/>
  <c r="J2354" i="1"/>
  <c r="I2354" i="1"/>
  <c r="H2354" i="1"/>
  <c r="G2354" i="1"/>
  <c r="F2354" i="1"/>
  <c r="E2354" i="1"/>
  <c r="D2354" i="1"/>
  <c r="C2354" i="1"/>
  <c r="B2354" i="1"/>
  <c r="A2354" i="1"/>
  <c r="J2353" i="1"/>
  <c r="I2353" i="1"/>
  <c r="H2353" i="1"/>
  <c r="G2353" i="1"/>
  <c r="F2353" i="1"/>
  <c r="E2353" i="1"/>
  <c r="D2353" i="1"/>
  <c r="C2353" i="1"/>
  <c r="B2353" i="1"/>
  <c r="A2353" i="1"/>
  <c r="J2352" i="1"/>
  <c r="I2352" i="1"/>
  <c r="H2352" i="1"/>
  <c r="G2352" i="1"/>
  <c r="F2352" i="1"/>
  <c r="E2352" i="1"/>
  <c r="D2352" i="1"/>
  <c r="C2352" i="1"/>
  <c r="B2352" i="1"/>
  <c r="A2352" i="1"/>
  <c r="J2351" i="1"/>
  <c r="I2351" i="1"/>
  <c r="H2351" i="1"/>
  <c r="G2351" i="1"/>
  <c r="F2351" i="1"/>
  <c r="E2351" i="1"/>
  <c r="D2351" i="1"/>
  <c r="C2351" i="1"/>
  <c r="B2351" i="1"/>
  <c r="A2351" i="1"/>
  <c r="J2350" i="1"/>
  <c r="I2350" i="1"/>
  <c r="H2350" i="1"/>
  <c r="G2350" i="1"/>
  <c r="F2350" i="1"/>
  <c r="E2350" i="1"/>
  <c r="D2350" i="1"/>
  <c r="C2350" i="1"/>
  <c r="B2350" i="1"/>
  <c r="A2350" i="1"/>
  <c r="J2349" i="1"/>
  <c r="I2349" i="1"/>
  <c r="H2349" i="1"/>
  <c r="G2349" i="1"/>
  <c r="F2349" i="1"/>
  <c r="E2349" i="1"/>
  <c r="D2349" i="1"/>
  <c r="C2349" i="1"/>
  <c r="B2349" i="1"/>
  <c r="A2349" i="1"/>
  <c r="J2348" i="1"/>
  <c r="I2348" i="1"/>
  <c r="H2348" i="1"/>
  <c r="G2348" i="1"/>
  <c r="F2348" i="1"/>
  <c r="E2348" i="1"/>
  <c r="D2348" i="1"/>
  <c r="C2348" i="1"/>
  <c r="B2348" i="1"/>
  <c r="A2348" i="1"/>
  <c r="J2347" i="1"/>
  <c r="I2347" i="1"/>
  <c r="H2347" i="1"/>
  <c r="G2347" i="1"/>
  <c r="F2347" i="1"/>
  <c r="E2347" i="1"/>
  <c r="D2347" i="1"/>
  <c r="C2347" i="1"/>
  <c r="B2347" i="1"/>
  <c r="A2347" i="1"/>
  <c r="J2346" i="1"/>
  <c r="I2346" i="1"/>
  <c r="H2346" i="1"/>
  <c r="G2346" i="1"/>
  <c r="F2346" i="1"/>
  <c r="E2346" i="1"/>
  <c r="D2346" i="1"/>
  <c r="C2346" i="1"/>
  <c r="B2346" i="1"/>
  <c r="A2346" i="1"/>
  <c r="J2345" i="1"/>
  <c r="I2345" i="1"/>
  <c r="H2345" i="1"/>
  <c r="G2345" i="1"/>
  <c r="F2345" i="1"/>
  <c r="E2345" i="1"/>
  <c r="D2345" i="1"/>
  <c r="C2345" i="1"/>
  <c r="B2345" i="1"/>
  <c r="A2345" i="1"/>
  <c r="J2344" i="1"/>
  <c r="I2344" i="1"/>
  <c r="H2344" i="1"/>
  <c r="G2344" i="1"/>
  <c r="F2344" i="1"/>
  <c r="E2344" i="1"/>
  <c r="D2344" i="1"/>
  <c r="C2344" i="1"/>
  <c r="B2344" i="1"/>
  <c r="A2344" i="1"/>
  <c r="J2343" i="1"/>
  <c r="I2343" i="1"/>
  <c r="H2343" i="1"/>
  <c r="G2343" i="1"/>
  <c r="F2343" i="1"/>
  <c r="E2343" i="1"/>
  <c r="D2343" i="1"/>
  <c r="C2343" i="1"/>
  <c r="B2343" i="1"/>
  <c r="A2343" i="1"/>
  <c r="J2342" i="1"/>
  <c r="I2342" i="1"/>
  <c r="H2342" i="1"/>
  <c r="G2342" i="1"/>
  <c r="F2342" i="1"/>
  <c r="E2342" i="1"/>
  <c r="D2342" i="1"/>
  <c r="C2342" i="1"/>
  <c r="B2342" i="1"/>
  <c r="A2342" i="1"/>
  <c r="J2341" i="1"/>
  <c r="I2341" i="1"/>
  <c r="H2341" i="1"/>
  <c r="G2341" i="1"/>
  <c r="F2341" i="1"/>
  <c r="E2341" i="1"/>
  <c r="D2341" i="1"/>
  <c r="C2341" i="1"/>
  <c r="B2341" i="1"/>
  <c r="A2341" i="1"/>
  <c r="J2340" i="1"/>
  <c r="I2340" i="1"/>
  <c r="H2340" i="1"/>
  <c r="G2340" i="1"/>
  <c r="F2340" i="1"/>
  <c r="E2340" i="1"/>
  <c r="D2340" i="1"/>
  <c r="C2340" i="1"/>
  <c r="B2340" i="1"/>
  <c r="A2340" i="1"/>
  <c r="J2339" i="1"/>
  <c r="I2339" i="1"/>
  <c r="H2339" i="1"/>
  <c r="G2339" i="1"/>
  <c r="F2339" i="1"/>
  <c r="E2339" i="1"/>
  <c r="D2339" i="1"/>
  <c r="C2339" i="1"/>
  <c r="B2339" i="1"/>
  <c r="A2339" i="1"/>
  <c r="J2338" i="1"/>
  <c r="I2338" i="1"/>
  <c r="H2338" i="1"/>
  <c r="G2338" i="1"/>
  <c r="F2338" i="1"/>
  <c r="E2338" i="1"/>
  <c r="D2338" i="1"/>
  <c r="C2338" i="1"/>
  <c r="B2338" i="1"/>
  <c r="A2338" i="1"/>
  <c r="J2337" i="1"/>
  <c r="I2337" i="1"/>
  <c r="H2337" i="1"/>
  <c r="G2337" i="1"/>
  <c r="F2337" i="1"/>
  <c r="E2337" i="1"/>
  <c r="D2337" i="1"/>
  <c r="C2337" i="1"/>
  <c r="B2337" i="1"/>
  <c r="A2337" i="1"/>
  <c r="J2336" i="1"/>
  <c r="I2336" i="1"/>
  <c r="H2336" i="1"/>
  <c r="G2336" i="1"/>
  <c r="F2336" i="1"/>
  <c r="E2336" i="1"/>
  <c r="D2336" i="1"/>
  <c r="C2336" i="1"/>
  <c r="B2336" i="1"/>
  <c r="A2336" i="1"/>
  <c r="J2335" i="1"/>
  <c r="I2335" i="1"/>
  <c r="H2335" i="1"/>
  <c r="G2335" i="1"/>
  <c r="F2335" i="1"/>
  <c r="E2335" i="1"/>
  <c r="D2335" i="1"/>
  <c r="C2335" i="1"/>
  <c r="B2335" i="1"/>
  <c r="A2335" i="1"/>
  <c r="J2334" i="1"/>
  <c r="I2334" i="1"/>
  <c r="H2334" i="1"/>
  <c r="G2334" i="1"/>
  <c r="F2334" i="1"/>
  <c r="E2334" i="1"/>
  <c r="D2334" i="1"/>
  <c r="C2334" i="1"/>
  <c r="B2334" i="1"/>
  <c r="A2334" i="1"/>
  <c r="J2333" i="1"/>
  <c r="I2333" i="1"/>
  <c r="H2333" i="1"/>
  <c r="G2333" i="1"/>
  <c r="F2333" i="1"/>
  <c r="E2333" i="1"/>
  <c r="D2333" i="1"/>
  <c r="C2333" i="1"/>
  <c r="B2333" i="1"/>
  <c r="A2333" i="1"/>
  <c r="J2332" i="1"/>
  <c r="I2332" i="1"/>
  <c r="H2332" i="1"/>
  <c r="G2332" i="1"/>
  <c r="F2332" i="1"/>
  <c r="E2332" i="1"/>
  <c r="D2332" i="1"/>
  <c r="C2332" i="1"/>
  <c r="B2332" i="1"/>
  <c r="A2332" i="1"/>
  <c r="J2331" i="1"/>
  <c r="I2331" i="1"/>
  <c r="H2331" i="1"/>
  <c r="G2331" i="1"/>
  <c r="F2331" i="1"/>
  <c r="E2331" i="1"/>
  <c r="D2331" i="1"/>
  <c r="C2331" i="1"/>
  <c r="B2331" i="1"/>
  <c r="A2331" i="1"/>
  <c r="J2330" i="1"/>
  <c r="I2330" i="1"/>
  <c r="H2330" i="1"/>
  <c r="G2330" i="1"/>
  <c r="F2330" i="1"/>
  <c r="E2330" i="1"/>
  <c r="D2330" i="1"/>
  <c r="C2330" i="1"/>
  <c r="B2330" i="1"/>
  <c r="A2330" i="1"/>
  <c r="J2329" i="1"/>
  <c r="I2329" i="1"/>
  <c r="H2329" i="1"/>
  <c r="G2329" i="1"/>
  <c r="F2329" i="1"/>
  <c r="E2329" i="1"/>
  <c r="D2329" i="1"/>
  <c r="C2329" i="1"/>
  <c r="B2329" i="1"/>
  <c r="A2329" i="1"/>
  <c r="J2328" i="1"/>
  <c r="I2328" i="1"/>
  <c r="H2328" i="1"/>
  <c r="G2328" i="1"/>
  <c r="F2328" i="1"/>
  <c r="E2328" i="1"/>
  <c r="D2328" i="1"/>
  <c r="C2328" i="1"/>
  <c r="B2328" i="1"/>
  <c r="A2328" i="1"/>
  <c r="J2327" i="1"/>
  <c r="I2327" i="1"/>
  <c r="H2327" i="1"/>
  <c r="G2327" i="1"/>
  <c r="F2327" i="1"/>
  <c r="E2327" i="1"/>
  <c r="D2327" i="1"/>
  <c r="C2327" i="1"/>
  <c r="B2327" i="1"/>
  <c r="A2327" i="1"/>
  <c r="J2326" i="1"/>
  <c r="I2326" i="1"/>
  <c r="H2326" i="1"/>
  <c r="G2326" i="1"/>
  <c r="F2326" i="1"/>
  <c r="E2326" i="1"/>
  <c r="D2326" i="1"/>
  <c r="C2326" i="1"/>
  <c r="B2326" i="1"/>
  <c r="A2326" i="1"/>
  <c r="J2325" i="1"/>
  <c r="I2325" i="1"/>
  <c r="H2325" i="1"/>
  <c r="G2325" i="1"/>
  <c r="F2325" i="1"/>
  <c r="E2325" i="1"/>
  <c r="D2325" i="1"/>
  <c r="C2325" i="1"/>
  <c r="B2325" i="1"/>
  <c r="A2325" i="1"/>
  <c r="J2324" i="1"/>
  <c r="I2324" i="1"/>
  <c r="H2324" i="1"/>
  <c r="G2324" i="1"/>
  <c r="F2324" i="1"/>
  <c r="E2324" i="1"/>
  <c r="D2324" i="1"/>
  <c r="C2324" i="1"/>
  <c r="B2324" i="1"/>
  <c r="A2324" i="1"/>
  <c r="J2323" i="1"/>
  <c r="I2323" i="1"/>
  <c r="H2323" i="1"/>
  <c r="G2323" i="1"/>
  <c r="F2323" i="1"/>
  <c r="E2323" i="1"/>
  <c r="D2323" i="1"/>
  <c r="C2323" i="1"/>
  <c r="B2323" i="1"/>
  <c r="A2323" i="1"/>
  <c r="J2322" i="1"/>
  <c r="I2322" i="1"/>
  <c r="H2322" i="1"/>
  <c r="G2322" i="1"/>
  <c r="F2322" i="1"/>
  <c r="E2322" i="1"/>
  <c r="D2322" i="1"/>
  <c r="C2322" i="1"/>
  <c r="B2322" i="1"/>
  <c r="A2322" i="1"/>
  <c r="J2321" i="1"/>
  <c r="I2321" i="1"/>
  <c r="H2321" i="1"/>
  <c r="G2321" i="1"/>
  <c r="F2321" i="1"/>
  <c r="E2321" i="1"/>
  <c r="D2321" i="1"/>
  <c r="C2321" i="1"/>
  <c r="B2321" i="1"/>
  <c r="A2321" i="1"/>
  <c r="J2320" i="1"/>
  <c r="I2320" i="1"/>
  <c r="H2320" i="1"/>
  <c r="G2320" i="1"/>
  <c r="F2320" i="1"/>
  <c r="E2320" i="1"/>
  <c r="D2320" i="1"/>
  <c r="C2320" i="1"/>
  <c r="B2320" i="1"/>
  <c r="A2320" i="1"/>
  <c r="J2319" i="1"/>
  <c r="I2319" i="1"/>
  <c r="H2319" i="1"/>
  <c r="G2319" i="1"/>
  <c r="F2319" i="1"/>
  <c r="E2319" i="1"/>
  <c r="D2319" i="1"/>
  <c r="C2319" i="1"/>
  <c r="B2319" i="1"/>
  <c r="A2319" i="1"/>
  <c r="J2318" i="1"/>
  <c r="I2318" i="1"/>
  <c r="H2318" i="1"/>
  <c r="G2318" i="1"/>
  <c r="F2318" i="1"/>
  <c r="E2318" i="1"/>
  <c r="D2318" i="1"/>
  <c r="C2318" i="1"/>
  <c r="B2318" i="1"/>
  <c r="A2318" i="1"/>
  <c r="J2317" i="1"/>
  <c r="I2317" i="1"/>
  <c r="H2317" i="1"/>
  <c r="G2317" i="1"/>
  <c r="F2317" i="1"/>
  <c r="E2317" i="1"/>
  <c r="D2317" i="1"/>
  <c r="C2317" i="1"/>
  <c r="B2317" i="1"/>
  <c r="A2317" i="1"/>
  <c r="J2316" i="1"/>
  <c r="I2316" i="1"/>
  <c r="H2316" i="1"/>
  <c r="G2316" i="1"/>
  <c r="F2316" i="1"/>
  <c r="E2316" i="1"/>
  <c r="D2316" i="1"/>
  <c r="C2316" i="1"/>
  <c r="B2316" i="1"/>
  <c r="A2316" i="1"/>
  <c r="J2315" i="1"/>
  <c r="I2315" i="1"/>
  <c r="H2315" i="1"/>
  <c r="G2315" i="1"/>
  <c r="F2315" i="1"/>
  <c r="E2315" i="1"/>
  <c r="D2315" i="1"/>
  <c r="C2315" i="1"/>
  <c r="B2315" i="1"/>
  <c r="A2315" i="1"/>
  <c r="J2314" i="1"/>
  <c r="I2314" i="1"/>
  <c r="H2314" i="1"/>
  <c r="G2314" i="1"/>
  <c r="F2314" i="1"/>
  <c r="E2314" i="1"/>
  <c r="D2314" i="1"/>
  <c r="C2314" i="1"/>
  <c r="B2314" i="1"/>
  <c r="A2314" i="1"/>
  <c r="J2313" i="1"/>
  <c r="I2313" i="1"/>
  <c r="H2313" i="1"/>
  <c r="G2313" i="1"/>
  <c r="F2313" i="1"/>
  <c r="E2313" i="1"/>
  <c r="D2313" i="1"/>
  <c r="C2313" i="1"/>
  <c r="B2313" i="1"/>
  <c r="A2313" i="1"/>
  <c r="J2312" i="1"/>
  <c r="I2312" i="1"/>
  <c r="H2312" i="1"/>
  <c r="G2312" i="1"/>
  <c r="F2312" i="1"/>
  <c r="E2312" i="1"/>
  <c r="D2312" i="1"/>
  <c r="C2312" i="1"/>
  <c r="B2312" i="1"/>
  <c r="A2312" i="1"/>
  <c r="J2311" i="1"/>
  <c r="I2311" i="1"/>
  <c r="H2311" i="1"/>
  <c r="G2311" i="1"/>
  <c r="F2311" i="1"/>
  <c r="E2311" i="1"/>
  <c r="D2311" i="1"/>
  <c r="C2311" i="1"/>
  <c r="B2311" i="1"/>
  <c r="A2311" i="1"/>
  <c r="J2310" i="1"/>
  <c r="I2310" i="1"/>
  <c r="H2310" i="1"/>
  <c r="G2310" i="1"/>
  <c r="F2310" i="1"/>
  <c r="E2310" i="1"/>
  <c r="D2310" i="1"/>
  <c r="C2310" i="1"/>
  <c r="B2310" i="1"/>
  <c r="A2310" i="1"/>
  <c r="J2309" i="1"/>
  <c r="I2309" i="1"/>
  <c r="H2309" i="1"/>
  <c r="G2309" i="1"/>
  <c r="F2309" i="1"/>
  <c r="E2309" i="1"/>
  <c r="D2309" i="1"/>
  <c r="C2309" i="1"/>
  <c r="B2309" i="1"/>
  <c r="A2309" i="1"/>
  <c r="J2308" i="1"/>
  <c r="I2308" i="1"/>
  <c r="H2308" i="1"/>
  <c r="G2308" i="1"/>
  <c r="F2308" i="1"/>
  <c r="E2308" i="1"/>
  <c r="D2308" i="1"/>
  <c r="C2308" i="1"/>
  <c r="B2308" i="1"/>
  <c r="A2308" i="1"/>
  <c r="J2307" i="1"/>
  <c r="I2307" i="1"/>
  <c r="H2307" i="1"/>
  <c r="G2307" i="1"/>
  <c r="F2307" i="1"/>
  <c r="E2307" i="1"/>
  <c r="D2307" i="1"/>
  <c r="C2307" i="1"/>
  <c r="B2307" i="1"/>
  <c r="A2307" i="1"/>
  <c r="J2306" i="1"/>
  <c r="I2306" i="1"/>
  <c r="H2306" i="1"/>
  <c r="G2306" i="1"/>
  <c r="F2306" i="1"/>
  <c r="E2306" i="1"/>
  <c r="D2306" i="1"/>
  <c r="C2306" i="1"/>
  <c r="B2306" i="1"/>
  <c r="A2306" i="1"/>
  <c r="J2305" i="1"/>
  <c r="I2305" i="1"/>
  <c r="H2305" i="1"/>
  <c r="G2305" i="1"/>
  <c r="F2305" i="1"/>
  <c r="E2305" i="1"/>
  <c r="D2305" i="1"/>
  <c r="C2305" i="1"/>
  <c r="B2305" i="1"/>
  <c r="A2305" i="1"/>
  <c r="J2304" i="1"/>
  <c r="I2304" i="1"/>
  <c r="H2304" i="1"/>
  <c r="G2304" i="1"/>
  <c r="F2304" i="1"/>
  <c r="E2304" i="1"/>
  <c r="D2304" i="1"/>
  <c r="C2304" i="1"/>
  <c r="B2304" i="1"/>
  <c r="A2304" i="1"/>
  <c r="J2303" i="1"/>
  <c r="I2303" i="1"/>
  <c r="H2303" i="1"/>
  <c r="G2303" i="1"/>
  <c r="F2303" i="1"/>
  <c r="E2303" i="1"/>
  <c r="D2303" i="1"/>
  <c r="C2303" i="1"/>
  <c r="B2303" i="1"/>
  <c r="A2303" i="1"/>
  <c r="J2302" i="1"/>
  <c r="I2302" i="1"/>
  <c r="H2302" i="1"/>
  <c r="G2302" i="1"/>
  <c r="F2302" i="1"/>
  <c r="E2302" i="1"/>
  <c r="D2302" i="1"/>
  <c r="C2302" i="1"/>
  <c r="B2302" i="1"/>
  <c r="A2302" i="1"/>
  <c r="J2301" i="1"/>
  <c r="I2301" i="1"/>
  <c r="H2301" i="1"/>
  <c r="G2301" i="1"/>
  <c r="F2301" i="1"/>
  <c r="E2301" i="1"/>
  <c r="D2301" i="1"/>
  <c r="C2301" i="1"/>
  <c r="B2301" i="1"/>
  <c r="A2301" i="1"/>
  <c r="J2300" i="1"/>
  <c r="I2300" i="1"/>
  <c r="H2300" i="1"/>
  <c r="G2300" i="1"/>
  <c r="F2300" i="1"/>
  <c r="E2300" i="1"/>
  <c r="D2300" i="1"/>
  <c r="C2300" i="1"/>
  <c r="B2300" i="1"/>
  <c r="A2300" i="1"/>
  <c r="J2299" i="1"/>
  <c r="I2299" i="1"/>
  <c r="H2299" i="1"/>
  <c r="G2299" i="1"/>
  <c r="F2299" i="1"/>
  <c r="E2299" i="1"/>
  <c r="D2299" i="1"/>
  <c r="C2299" i="1"/>
  <c r="B2299" i="1"/>
  <c r="A2299" i="1"/>
  <c r="J2298" i="1"/>
  <c r="I2298" i="1"/>
  <c r="H2298" i="1"/>
  <c r="G2298" i="1"/>
  <c r="F2298" i="1"/>
  <c r="E2298" i="1"/>
  <c r="D2298" i="1"/>
  <c r="C2298" i="1"/>
  <c r="B2298" i="1"/>
  <c r="A2298" i="1"/>
  <c r="J2297" i="1"/>
  <c r="I2297" i="1"/>
  <c r="H2297" i="1"/>
  <c r="G2297" i="1"/>
  <c r="F2297" i="1"/>
  <c r="E2297" i="1"/>
  <c r="D2297" i="1"/>
  <c r="C2297" i="1"/>
  <c r="B2297" i="1"/>
  <c r="A2297" i="1"/>
  <c r="J2296" i="1"/>
  <c r="I2296" i="1"/>
  <c r="H2296" i="1"/>
  <c r="G2296" i="1"/>
  <c r="F2296" i="1"/>
  <c r="E2296" i="1"/>
  <c r="D2296" i="1"/>
  <c r="C2296" i="1"/>
  <c r="B2296" i="1"/>
  <c r="A2296" i="1"/>
  <c r="J2295" i="1"/>
  <c r="I2295" i="1"/>
  <c r="H2295" i="1"/>
  <c r="G2295" i="1"/>
  <c r="F2295" i="1"/>
  <c r="E2295" i="1"/>
  <c r="D2295" i="1"/>
  <c r="C2295" i="1"/>
  <c r="B2295" i="1"/>
  <c r="A2295" i="1"/>
  <c r="J2294" i="1"/>
  <c r="I2294" i="1"/>
  <c r="H2294" i="1"/>
  <c r="G2294" i="1"/>
  <c r="F2294" i="1"/>
  <c r="E2294" i="1"/>
  <c r="D2294" i="1"/>
  <c r="C2294" i="1"/>
  <c r="B2294" i="1"/>
  <c r="A2294" i="1"/>
  <c r="J2293" i="1"/>
  <c r="I2293" i="1"/>
  <c r="H2293" i="1"/>
  <c r="G2293" i="1"/>
  <c r="F2293" i="1"/>
  <c r="E2293" i="1"/>
  <c r="D2293" i="1"/>
  <c r="C2293" i="1"/>
  <c r="B2293" i="1"/>
  <c r="A2293" i="1"/>
  <c r="J2292" i="1"/>
  <c r="I2292" i="1"/>
  <c r="H2292" i="1"/>
  <c r="G2292" i="1"/>
  <c r="F2292" i="1"/>
  <c r="E2292" i="1"/>
  <c r="D2292" i="1"/>
  <c r="C2292" i="1"/>
  <c r="B2292" i="1"/>
  <c r="A2292" i="1"/>
  <c r="J2291" i="1"/>
  <c r="I2291" i="1"/>
  <c r="H2291" i="1"/>
  <c r="G2291" i="1"/>
  <c r="F2291" i="1"/>
  <c r="E2291" i="1"/>
  <c r="D2291" i="1"/>
  <c r="C2291" i="1"/>
  <c r="B2291" i="1"/>
  <c r="A2291" i="1"/>
  <c r="J2290" i="1"/>
  <c r="I2290" i="1"/>
  <c r="H2290" i="1"/>
  <c r="G2290" i="1"/>
  <c r="F2290" i="1"/>
  <c r="E2290" i="1"/>
  <c r="D2290" i="1"/>
  <c r="C2290" i="1"/>
  <c r="B2290" i="1"/>
  <c r="A2290" i="1"/>
  <c r="J2289" i="1"/>
  <c r="I2289" i="1"/>
  <c r="H2289" i="1"/>
  <c r="G2289" i="1"/>
  <c r="F2289" i="1"/>
  <c r="E2289" i="1"/>
  <c r="C2289" i="1"/>
  <c r="B2289" i="1"/>
  <c r="A2289" i="1"/>
  <c r="J2288" i="1"/>
  <c r="I2288" i="1"/>
  <c r="H2288" i="1"/>
  <c r="G2288" i="1"/>
  <c r="F2288" i="1"/>
  <c r="E2288" i="1"/>
  <c r="D2288" i="1"/>
  <c r="C2288" i="1"/>
  <c r="B2288" i="1"/>
  <c r="A2288" i="1"/>
  <c r="J2287" i="1"/>
  <c r="I2287" i="1"/>
  <c r="H2287" i="1"/>
  <c r="G2287" i="1"/>
  <c r="F2287" i="1"/>
  <c r="E2287" i="1"/>
  <c r="D2287" i="1"/>
  <c r="C2287" i="1"/>
  <c r="B2287" i="1"/>
  <c r="A2287" i="1"/>
  <c r="J2286" i="1"/>
  <c r="I2286" i="1"/>
  <c r="H2286" i="1"/>
  <c r="G2286" i="1"/>
  <c r="F2286" i="1"/>
  <c r="E2286" i="1"/>
  <c r="D2286" i="1"/>
  <c r="C2286" i="1"/>
  <c r="B2286" i="1"/>
  <c r="A2286" i="1"/>
  <c r="J2285" i="1"/>
  <c r="I2285" i="1"/>
  <c r="H2285" i="1"/>
  <c r="G2285" i="1"/>
  <c r="F2285" i="1"/>
  <c r="E2285" i="1"/>
  <c r="D2285" i="1"/>
  <c r="C2285" i="1"/>
  <c r="B2285" i="1"/>
  <c r="A2285" i="1"/>
  <c r="J2284" i="1"/>
  <c r="I2284" i="1"/>
  <c r="H2284" i="1"/>
  <c r="G2284" i="1"/>
  <c r="F2284" i="1"/>
  <c r="E2284" i="1"/>
  <c r="D2284" i="1"/>
  <c r="C2284" i="1"/>
  <c r="B2284" i="1"/>
  <c r="A2284" i="1"/>
  <c r="J2283" i="1"/>
  <c r="I2283" i="1"/>
  <c r="H2283" i="1"/>
  <c r="G2283" i="1"/>
  <c r="F2283" i="1"/>
  <c r="E2283" i="1"/>
  <c r="D2283" i="1"/>
  <c r="C2283" i="1"/>
  <c r="B2283" i="1"/>
  <c r="A2283" i="1"/>
  <c r="J2282" i="1"/>
  <c r="I2282" i="1"/>
  <c r="H2282" i="1"/>
  <c r="G2282" i="1"/>
  <c r="F2282" i="1"/>
  <c r="E2282" i="1"/>
  <c r="D2282" i="1"/>
  <c r="C2282" i="1"/>
  <c r="B2282" i="1"/>
  <c r="A2282" i="1"/>
  <c r="J2281" i="1"/>
  <c r="I2281" i="1"/>
  <c r="H2281" i="1"/>
  <c r="G2281" i="1"/>
  <c r="F2281" i="1"/>
  <c r="E2281" i="1"/>
  <c r="D2281" i="1"/>
  <c r="C2281" i="1"/>
  <c r="B2281" i="1"/>
  <c r="A2281" i="1"/>
  <c r="J2280" i="1"/>
  <c r="I2280" i="1"/>
  <c r="H2280" i="1"/>
  <c r="G2280" i="1"/>
  <c r="F2280" i="1"/>
  <c r="E2280" i="1"/>
  <c r="D2280" i="1"/>
  <c r="C2280" i="1"/>
  <c r="B2280" i="1"/>
  <c r="A2280" i="1"/>
  <c r="J2279" i="1"/>
  <c r="I2279" i="1"/>
  <c r="H2279" i="1"/>
  <c r="G2279" i="1"/>
  <c r="F2279" i="1"/>
  <c r="E2279" i="1"/>
  <c r="D2279" i="1"/>
  <c r="C2279" i="1"/>
  <c r="B2279" i="1"/>
  <c r="A2279" i="1"/>
  <c r="J2278" i="1"/>
  <c r="I2278" i="1"/>
  <c r="H2278" i="1"/>
  <c r="G2278" i="1"/>
  <c r="F2278" i="1"/>
  <c r="E2278" i="1"/>
  <c r="D2278" i="1"/>
  <c r="C2278" i="1"/>
  <c r="B2278" i="1"/>
  <c r="A2278" i="1"/>
  <c r="J2277" i="1"/>
  <c r="I2277" i="1"/>
  <c r="H2277" i="1"/>
  <c r="G2277" i="1"/>
  <c r="F2277" i="1"/>
  <c r="E2277" i="1"/>
  <c r="D2277" i="1"/>
  <c r="C2277" i="1"/>
  <c r="B2277" i="1"/>
  <c r="A2277" i="1"/>
  <c r="J2276" i="1"/>
  <c r="I2276" i="1"/>
  <c r="H2276" i="1"/>
  <c r="G2276" i="1"/>
  <c r="F2276" i="1"/>
  <c r="E2276" i="1"/>
  <c r="C2276" i="1"/>
  <c r="B2276" i="1"/>
  <c r="A2276" i="1"/>
  <c r="J2275" i="1"/>
  <c r="I2275" i="1"/>
  <c r="H2275" i="1"/>
  <c r="G2275" i="1"/>
  <c r="F2275" i="1"/>
  <c r="E2275" i="1"/>
  <c r="D2275" i="1"/>
  <c r="C2275" i="1"/>
  <c r="B2275" i="1"/>
  <c r="A2275" i="1"/>
  <c r="J2274" i="1"/>
  <c r="I2274" i="1"/>
  <c r="H2274" i="1"/>
  <c r="G2274" i="1"/>
  <c r="F2274" i="1"/>
  <c r="E2274" i="1"/>
  <c r="D2274" i="1"/>
  <c r="C2274" i="1"/>
  <c r="B2274" i="1"/>
  <c r="A2274" i="1"/>
  <c r="J2273" i="1"/>
  <c r="I2273" i="1"/>
  <c r="H2273" i="1"/>
  <c r="G2273" i="1"/>
  <c r="F2273" i="1"/>
  <c r="E2273" i="1"/>
  <c r="D2273" i="1"/>
  <c r="C2273" i="1"/>
  <c r="B2273" i="1"/>
  <c r="A2273" i="1"/>
  <c r="J2272" i="1"/>
  <c r="I2272" i="1"/>
  <c r="H2272" i="1"/>
  <c r="G2272" i="1"/>
  <c r="F2272" i="1"/>
  <c r="E2272" i="1"/>
  <c r="D2272" i="1"/>
  <c r="C2272" i="1"/>
  <c r="B2272" i="1"/>
  <c r="A2272" i="1"/>
  <c r="J2271" i="1"/>
  <c r="I2271" i="1"/>
  <c r="H2271" i="1"/>
  <c r="G2271" i="1"/>
  <c r="F2271" i="1"/>
  <c r="E2271" i="1"/>
  <c r="D2271" i="1"/>
  <c r="C2271" i="1"/>
  <c r="B2271" i="1"/>
  <c r="A2271" i="1"/>
  <c r="J2270" i="1"/>
  <c r="I2270" i="1"/>
  <c r="H2270" i="1"/>
  <c r="G2270" i="1"/>
  <c r="F2270" i="1"/>
  <c r="E2270" i="1"/>
  <c r="D2270" i="1"/>
  <c r="C2270" i="1"/>
  <c r="B2270" i="1"/>
  <c r="A2270" i="1"/>
  <c r="J2269" i="1"/>
  <c r="I2269" i="1"/>
  <c r="H2269" i="1"/>
  <c r="G2269" i="1"/>
  <c r="F2269" i="1"/>
  <c r="E2269" i="1"/>
  <c r="D2269" i="1"/>
  <c r="C2269" i="1"/>
  <c r="B2269" i="1"/>
  <c r="A2269" i="1"/>
  <c r="J2268" i="1"/>
  <c r="I2268" i="1"/>
  <c r="H2268" i="1"/>
  <c r="G2268" i="1"/>
  <c r="F2268" i="1"/>
  <c r="E2268" i="1"/>
  <c r="D2268" i="1"/>
  <c r="C2268" i="1"/>
  <c r="B2268" i="1"/>
  <c r="A2268" i="1"/>
  <c r="J2267" i="1"/>
  <c r="I2267" i="1"/>
  <c r="H2267" i="1"/>
  <c r="G2267" i="1"/>
  <c r="F2267" i="1"/>
  <c r="E2267" i="1"/>
  <c r="D2267" i="1"/>
  <c r="C2267" i="1"/>
  <c r="B2267" i="1"/>
  <c r="A2267" i="1"/>
  <c r="J2266" i="1"/>
  <c r="I2266" i="1"/>
  <c r="H2266" i="1"/>
  <c r="G2266" i="1"/>
  <c r="F2266" i="1"/>
  <c r="E2266" i="1"/>
  <c r="D2266" i="1"/>
  <c r="C2266" i="1"/>
  <c r="B2266" i="1"/>
  <c r="A2266" i="1"/>
  <c r="J2265" i="1"/>
  <c r="I2265" i="1"/>
  <c r="H2265" i="1"/>
  <c r="G2265" i="1"/>
  <c r="F2265" i="1"/>
  <c r="E2265" i="1"/>
  <c r="D2265" i="1"/>
  <c r="C2265" i="1"/>
  <c r="B2265" i="1"/>
  <c r="A2265" i="1"/>
  <c r="J2264" i="1"/>
  <c r="I2264" i="1"/>
  <c r="H2264" i="1"/>
  <c r="G2264" i="1"/>
  <c r="F2264" i="1"/>
  <c r="E2264" i="1"/>
  <c r="D2264" i="1"/>
  <c r="C2264" i="1"/>
  <c r="B2264" i="1"/>
  <c r="A2264" i="1"/>
  <c r="J2263" i="1"/>
  <c r="I2263" i="1"/>
  <c r="H2263" i="1"/>
  <c r="G2263" i="1"/>
  <c r="F2263" i="1"/>
  <c r="E2263" i="1"/>
  <c r="D2263" i="1"/>
  <c r="C2263" i="1"/>
  <c r="B2263" i="1"/>
  <c r="A2263" i="1"/>
  <c r="J2262" i="1"/>
  <c r="I2262" i="1"/>
  <c r="H2262" i="1"/>
  <c r="G2262" i="1"/>
  <c r="F2262" i="1"/>
  <c r="E2262" i="1"/>
  <c r="D2262" i="1"/>
  <c r="C2262" i="1"/>
  <c r="B2262" i="1"/>
  <c r="A2262" i="1"/>
  <c r="J2261" i="1"/>
  <c r="I2261" i="1"/>
  <c r="H2261" i="1"/>
  <c r="G2261" i="1"/>
  <c r="F2261" i="1"/>
  <c r="E2261" i="1"/>
  <c r="D2261" i="1"/>
  <c r="C2261" i="1"/>
  <c r="B2261" i="1"/>
  <c r="A2261" i="1"/>
  <c r="J2260" i="1"/>
  <c r="I2260" i="1"/>
  <c r="H2260" i="1"/>
  <c r="G2260" i="1"/>
  <c r="F2260" i="1"/>
  <c r="E2260" i="1"/>
  <c r="C2260" i="1"/>
  <c r="B2260" i="1"/>
  <c r="A2260" i="1"/>
  <c r="J2259" i="1"/>
  <c r="I2259" i="1"/>
  <c r="H2259" i="1"/>
  <c r="G2259" i="1"/>
  <c r="F2259" i="1"/>
  <c r="E2259" i="1"/>
  <c r="D2259" i="1"/>
  <c r="C2259" i="1"/>
  <c r="B2259" i="1"/>
  <c r="A2259" i="1"/>
  <c r="J2258" i="1"/>
  <c r="I2258" i="1"/>
  <c r="H2258" i="1"/>
  <c r="G2258" i="1"/>
  <c r="F2258" i="1"/>
  <c r="E2258" i="1"/>
  <c r="D2258" i="1"/>
  <c r="C2258" i="1"/>
  <c r="B2258" i="1"/>
  <c r="A2258" i="1"/>
  <c r="J2257" i="1"/>
  <c r="I2257" i="1"/>
  <c r="H2257" i="1"/>
  <c r="G2257" i="1"/>
  <c r="F2257" i="1"/>
  <c r="E2257" i="1"/>
  <c r="D2257" i="1"/>
  <c r="C2257" i="1"/>
  <c r="B2257" i="1"/>
  <c r="A2257" i="1"/>
  <c r="J2256" i="1"/>
  <c r="I2256" i="1"/>
  <c r="H2256" i="1"/>
  <c r="G2256" i="1"/>
  <c r="F2256" i="1"/>
  <c r="E2256" i="1"/>
  <c r="D2256" i="1"/>
  <c r="C2256" i="1"/>
  <c r="B2256" i="1"/>
  <c r="A2256" i="1"/>
  <c r="J2255" i="1"/>
  <c r="I2255" i="1"/>
  <c r="H2255" i="1"/>
  <c r="G2255" i="1"/>
  <c r="F2255" i="1"/>
  <c r="E2255" i="1"/>
  <c r="D2255" i="1"/>
  <c r="C2255" i="1"/>
  <c r="B2255" i="1"/>
  <c r="A2255" i="1"/>
  <c r="J2254" i="1"/>
  <c r="I2254" i="1"/>
  <c r="H2254" i="1"/>
  <c r="G2254" i="1"/>
  <c r="F2254" i="1"/>
  <c r="E2254" i="1"/>
  <c r="D2254" i="1"/>
  <c r="C2254" i="1"/>
  <c r="B2254" i="1"/>
  <c r="A2254" i="1"/>
  <c r="J2253" i="1"/>
  <c r="I2253" i="1"/>
  <c r="H2253" i="1"/>
  <c r="G2253" i="1"/>
  <c r="F2253" i="1"/>
  <c r="E2253" i="1"/>
  <c r="D2253" i="1"/>
  <c r="C2253" i="1"/>
  <c r="B2253" i="1"/>
  <c r="A2253" i="1"/>
  <c r="J2252" i="1"/>
  <c r="I2252" i="1"/>
  <c r="H2252" i="1"/>
  <c r="G2252" i="1"/>
  <c r="F2252" i="1"/>
  <c r="E2252" i="1"/>
  <c r="D2252" i="1"/>
  <c r="C2252" i="1"/>
  <c r="B2252" i="1"/>
  <c r="A2252" i="1"/>
  <c r="J2251" i="1"/>
  <c r="I2251" i="1"/>
  <c r="H2251" i="1"/>
  <c r="G2251" i="1"/>
  <c r="F2251" i="1"/>
  <c r="E2251" i="1"/>
  <c r="D2251" i="1"/>
  <c r="C2251" i="1"/>
  <c r="B2251" i="1"/>
  <c r="A2251" i="1"/>
  <c r="J2250" i="1"/>
  <c r="I2250" i="1"/>
  <c r="H2250" i="1"/>
  <c r="G2250" i="1"/>
  <c r="F2250" i="1"/>
  <c r="E2250" i="1"/>
  <c r="D2250" i="1"/>
  <c r="C2250" i="1"/>
  <c r="B2250" i="1"/>
  <c r="A2250" i="1"/>
  <c r="J2249" i="1"/>
  <c r="I2249" i="1"/>
  <c r="H2249" i="1"/>
  <c r="G2249" i="1"/>
  <c r="F2249" i="1"/>
  <c r="E2249" i="1"/>
  <c r="D2249" i="1"/>
  <c r="C2249" i="1"/>
  <c r="B2249" i="1"/>
  <c r="A2249" i="1"/>
  <c r="J2248" i="1"/>
  <c r="I2248" i="1"/>
  <c r="H2248" i="1"/>
  <c r="G2248" i="1"/>
  <c r="F2248" i="1"/>
  <c r="E2248" i="1"/>
  <c r="D2248" i="1"/>
  <c r="C2248" i="1"/>
  <c r="B2248" i="1"/>
  <c r="A2248" i="1"/>
  <c r="J2247" i="1"/>
  <c r="I2247" i="1"/>
  <c r="H2247" i="1"/>
  <c r="G2247" i="1"/>
  <c r="F2247" i="1"/>
  <c r="E2247" i="1"/>
  <c r="D2247" i="1"/>
  <c r="C2247" i="1"/>
  <c r="B2247" i="1"/>
  <c r="A2247" i="1"/>
  <c r="J2246" i="1"/>
  <c r="I2246" i="1"/>
  <c r="H2246" i="1"/>
  <c r="G2246" i="1"/>
  <c r="F2246" i="1"/>
  <c r="E2246" i="1"/>
  <c r="D2246" i="1"/>
  <c r="C2246" i="1"/>
  <c r="B2246" i="1"/>
  <c r="A2246" i="1"/>
  <c r="J2245" i="1"/>
  <c r="I2245" i="1"/>
  <c r="H2245" i="1"/>
  <c r="G2245" i="1"/>
  <c r="F2245" i="1"/>
  <c r="E2245" i="1"/>
  <c r="D2245" i="1"/>
  <c r="C2245" i="1"/>
  <c r="B2245" i="1"/>
  <c r="A2245" i="1"/>
  <c r="J2244" i="1"/>
  <c r="I2244" i="1"/>
  <c r="H2244" i="1"/>
  <c r="G2244" i="1"/>
  <c r="F2244" i="1"/>
  <c r="E2244" i="1"/>
  <c r="D2244" i="1"/>
  <c r="C2244" i="1"/>
  <c r="B2244" i="1"/>
  <c r="A2244" i="1"/>
  <c r="J2243" i="1"/>
  <c r="I2243" i="1"/>
  <c r="H2243" i="1"/>
  <c r="G2243" i="1"/>
  <c r="F2243" i="1"/>
  <c r="E2243" i="1"/>
  <c r="D2243" i="1"/>
  <c r="C2243" i="1"/>
  <c r="B2243" i="1"/>
  <c r="A2243" i="1"/>
  <c r="J2242" i="1"/>
  <c r="I2242" i="1"/>
  <c r="H2242" i="1"/>
  <c r="G2242" i="1"/>
  <c r="F2242" i="1"/>
  <c r="E2242" i="1"/>
  <c r="D2242" i="1"/>
  <c r="C2242" i="1"/>
  <c r="B2242" i="1"/>
  <c r="A2242" i="1"/>
  <c r="J2241" i="1"/>
  <c r="I2241" i="1"/>
  <c r="H2241" i="1"/>
  <c r="G2241" i="1"/>
  <c r="F2241" i="1"/>
  <c r="E2241" i="1"/>
  <c r="D2241" i="1"/>
  <c r="C2241" i="1"/>
  <c r="B2241" i="1"/>
  <c r="A2241" i="1"/>
  <c r="J2240" i="1"/>
  <c r="I2240" i="1"/>
  <c r="H2240" i="1"/>
  <c r="G2240" i="1"/>
  <c r="F2240" i="1"/>
  <c r="E2240" i="1"/>
  <c r="D2240" i="1"/>
  <c r="C2240" i="1"/>
  <c r="B2240" i="1"/>
  <c r="A2240" i="1"/>
  <c r="J2239" i="1"/>
  <c r="I2239" i="1"/>
  <c r="H2239" i="1"/>
  <c r="G2239" i="1"/>
  <c r="F2239" i="1"/>
  <c r="E2239" i="1"/>
  <c r="D2239" i="1"/>
  <c r="C2239" i="1"/>
  <c r="B2239" i="1"/>
  <c r="A2239" i="1"/>
  <c r="J2238" i="1"/>
  <c r="I2238" i="1"/>
  <c r="H2238" i="1"/>
  <c r="G2238" i="1"/>
  <c r="F2238" i="1"/>
  <c r="E2238" i="1"/>
  <c r="D2238" i="1"/>
  <c r="C2238" i="1"/>
  <c r="B2238" i="1"/>
  <c r="A2238" i="1"/>
  <c r="J2237" i="1"/>
  <c r="I2237" i="1"/>
  <c r="H2237" i="1"/>
  <c r="G2237" i="1"/>
  <c r="F2237" i="1"/>
  <c r="E2237" i="1"/>
  <c r="D2237" i="1"/>
  <c r="C2237" i="1"/>
  <c r="B2237" i="1"/>
  <c r="A2237" i="1"/>
  <c r="J2236" i="1"/>
  <c r="I2236" i="1"/>
  <c r="H2236" i="1"/>
  <c r="G2236" i="1"/>
  <c r="F2236" i="1"/>
  <c r="E2236" i="1"/>
  <c r="D2236" i="1"/>
  <c r="C2236" i="1"/>
  <c r="B2236" i="1"/>
  <c r="A2236" i="1"/>
  <c r="J2235" i="1"/>
  <c r="I2235" i="1"/>
  <c r="H2235" i="1"/>
  <c r="G2235" i="1"/>
  <c r="F2235" i="1"/>
  <c r="E2235" i="1"/>
  <c r="D2235" i="1"/>
  <c r="C2235" i="1"/>
  <c r="B2235" i="1"/>
  <c r="A2235" i="1"/>
  <c r="J2234" i="1"/>
  <c r="I2234" i="1"/>
  <c r="H2234" i="1"/>
  <c r="G2234" i="1"/>
  <c r="F2234" i="1"/>
  <c r="E2234" i="1"/>
  <c r="D2234" i="1"/>
  <c r="C2234" i="1"/>
  <c r="B2234" i="1"/>
  <c r="A2234" i="1"/>
  <c r="J2233" i="1"/>
  <c r="I2233" i="1"/>
  <c r="H2233" i="1"/>
  <c r="G2233" i="1"/>
  <c r="F2233" i="1"/>
  <c r="E2233" i="1"/>
  <c r="D2233" i="1"/>
  <c r="C2233" i="1"/>
  <c r="B2233" i="1"/>
  <c r="A2233" i="1"/>
  <c r="J2232" i="1"/>
  <c r="I2232" i="1"/>
  <c r="H2232" i="1"/>
  <c r="G2232" i="1"/>
  <c r="F2232" i="1"/>
  <c r="E2232" i="1"/>
  <c r="D2232" i="1"/>
  <c r="C2232" i="1"/>
  <c r="B2232" i="1"/>
  <c r="A2232" i="1"/>
  <c r="J2231" i="1"/>
  <c r="I2231" i="1"/>
  <c r="H2231" i="1"/>
  <c r="G2231" i="1"/>
  <c r="F2231" i="1"/>
  <c r="E2231" i="1"/>
  <c r="D2231" i="1"/>
  <c r="C2231" i="1"/>
  <c r="B2231" i="1"/>
  <c r="A2231" i="1"/>
  <c r="J2230" i="1"/>
  <c r="I2230" i="1"/>
  <c r="H2230" i="1"/>
  <c r="G2230" i="1"/>
  <c r="F2230" i="1"/>
  <c r="E2230" i="1"/>
  <c r="D2230" i="1"/>
  <c r="C2230" i="1"/>
  <c r="B2230" i="1"/>
  <c r="A2230" i="1"/>
  <c r="J2229" i="1"/>
  <c r="I2229" i="1"/>
  <c r="H2229" i="1"/>
  <c r="G2229" i="1"/>
  <c r="F2229" i="1"/>
  <c r="E2229" i="1"/>
  <c r="D2229" i="1"/>
  <c r="C2229" i="1"/>
  <c r="B2229" i="1"/>
  <c r="A2229" i="1"/>
  <c r="J2228" i="1"/>
  <c r="I2228" i="1"/>
  <c r="H2228" i="1"/>
  <c r="G2228" i="1"/>
  <c r="F2228" i="1"/>
  <c r="E2228" i="1"/>
  <c r="D2228" i="1"/>
  <c r="C2228" i="1"/>
  <c r="B2228" i="1"/>
  <c r="A2228" i="1"/>
  <c r="J2227" i="1"/>
  <c r="I2227" i="1"/>
  <c r="H2227" i="1"/>
  <c r="G2227" i="1"/>
  <c r="F2227" i="1"/>
  <c r="E2227" i="1"/>
  <c r="D2227" i="1"/>
  <c r="C2227" i="1"/>
  <c r="B2227" i="1"/>
  <c r="A2227" i="1"/>
  <c r="J2226" i="1"/>
  <c r="I2226" i="1"/>
  <c r="H2226" i="1"/>
  <c r="G2226" i="1"/>
  <c r="F2226" i="1"/>
  <c r="E2226" i="1"/>
  <c r="D2226" i="1"/>
  <c r="C2226" i="1"/>
  <c r="B2226" i="1"/>
  <c r="A2226" i="1"/>
  <c r="J2225" i="1"/>
  <c r="I2225" i="1"/>
  <c r="H2225" i="1"/>
  <c r="G2225" i="1"/>
  <c r="F2225" i="1"/>
  <c r="E2225" i="1"/>
  <c r="D2225" i="1"/>
  <c r="C2225" i="1"/>
  <c r="B2225" i="1"/>
  <c r="A2225" i="1"/>
  <c r="J2224" i="1"/>
  <c r="I2224" i="1"/>
  <c r="H2224" i="1"/>
  <c r="G2224" i="1"/>
  <c r="F2224" i="1"/>
  <c r="E2224" i="1"/>
  <c r="D2224" i="1"/>
  <c r="C2224" i="1"/>
  <c r="B2224" i="1"/>
  <c r="A2224" i="1"/>
  <c r="J2223" i="1"/>
  <c r="I2223" i="1"/>
  <c r="H2223" i="1"/>
  <c r="G2223" i="1"/>
  <c r="F2223" i="1"/>
  <c r="E2223" i="1"/>
  <c r="D2223" i="1"/>
  <c r="C2223" i="1"/>
  <c r="B2223" i="1"/>
  <c r="A2223" i="1"/>
  <c r="J2222" i="1"/>
  <c r="I2222" i="1"/>
  <c r="H2222" i="1"/>
  <c r="G2222" i="1"/>
  <c r="F2222" i="1"/>
  <c r="E2222" i="1"/>
  <c r="D2222" i="1"/>
  <c r="C2222" i="1"/>
  <c r="B2222" i="1"/>
  <c r="A2222" i="1"/>
  <c r="J2221" i="1"/>
  <c r="I2221" i="1"/>
  <c r="H2221" i="1"/>
  <c r="G2221" i="1"/>
  <c r="F2221" i="1"/>
  <c r="E2221" i="1"/>
  <c r="D2221" i="1"/>
  <c r="C2221" i="1"/>
  <c r="B2221" i="1"/>
  <c r="A2221" i="1"/>
  <c r="J2220" i="1"/>
  <c r="I2220" i="1"/>
  <c r="H2220" i="1"/>
  <c r="G2220" i="1"/>
  <c r="F2220" i="1"/>
  <c r="E2220" i="1"/>
  <c r="D2220" i="1"/>
  <c r="C2220" i="1"/>
  <c r="B2220" i="1"/>
  <c r="A2220" i="1"/>
  <c r="J2219" i="1"/>
  <c r="I2219" i="1"/>
  <c r="H2219" i="1"/>
  <c r="G2219" i="1"/>
  <c r="F2219" i="1"/>
  <c r="E2219" i="1"/>
  <c r="D2219" i="1"/>
  <c r="C2219" i="1"/>
  <c r="B2219" i="1"/>
  <c r="A2219" i="1"/>
  <c r="J2218" i="1"/>
  <c r="I2218" i="1"/>
  <c r="H2218" i="1"/>
  <c r="G2218" i="1"/>
  <c r="F2218" i="1"/>
  <c r="E2218" i="1"/>
  <c r="D2218" i="1"/>
  <c r="C2218" i="1"/>
  <c r="B2218" i="1"/>
  <c r="A2218" i="1"/>
  <c r="J2217" i="1"/>
  <c r="I2217" i="1"/>
  <c r="H2217" i="1"/>
  <c r="G2217" i="1"/>
  <c r="F2217" i="1"/>
  <c r="E2217" i="1"/>
  <c r="D2217" i="1"/>
  <c r="C2217" i="1"/>
  <c r="B2217" i="1"/>
  <c r="A2217" i="1"/>
  <c r="J2216" i="1"/>
  <c r="I2216" i="1"/>
  <c r="H2216" i="1"/>
  <c r="G2216" i="1"/>
  <c r="F2216" i="1"/>
  <c r="E2216" i="1"/>
  <c r="D2216" i="1"/>
  <c r="C2216" i="1"/>
  <c r="B2216" i="1"/>
  <c r="A2216" i="1"/>
  <c r="J2215" i="1"/>
  <c r="I2215" i="1"/>
  <c r="H2215" i="1"/>
  <c r="G2215" i="1"/>
  <c r="F2215" i="1"/>
  <c r="E2215" i="1"/>
  <c r="D2215" i="1"/>
  <c r="C2215" i="1"/>
  <c r="B2215" i="1"/>
  <c r="A2215" i="1"/>
  <c r="J2214" i="1"/>
  <c r="I2214" i="1"/>
  <c r="H2214" i="1"/>
  <c r="G2214" i="1"/>
  <c r="F2214" i="1"/>
  <c r="E2214" i="1"/>
  <c r="C2214" i="1"/>
  <c r="B2214" i="1"/>
  <c r="A2214" i="1"/>
  <c r="J2213" i="1"/>
  <c r="I2213" i="1"/>
  <c r="H2213" i="1"/>
  <c r="G2213" i="1"/>
  <c r="F2213" i="1"/>
  <c r="E2213" i="1"/>
  <c r="D2213" i="1"/>
  <c r="C2213" i="1"/>
  <c r="B2213" i="1"/>
  <c r="A2213" i="1"/>
  <c r="J2212" i="1"/>
  <c r="I2212" i="1"/>
  <c r="H2212" i="1"/>
  <c r="G2212" i="1"/>
  <c r="F2212" i="1"/>
  <c r="E2212" i="1"/>
  <c r="D2212" i="1"/>
  <c r="C2212" i="1"/>
  <c r="B2212" i="1"/>
  <c r="A2212" i="1"/>
  <c r="J2211" i="1"/>
  <c r="I2211" i="1"/>
  <c r="H2211" i="1"/>
  <c r="G2211" i="1"/>
  <c r="F2211" i="1"/>
  <c r="E2211" i="1"/>
  <c r="D2211" i="1"/>
  <c r="C2211" i="1"/>
  <c r="B2211" i="1"/>
  <c r="A2211" i="1"/>
  <c r="J2210" i="1"/>
  <c r="I2210" i="1"/>
  <c r="H2210" i="1"/>
  <c r="G2210" i="1"/>
  <c r="F2210" i="1"/>
  <c r="E2210" i="1"/>
  <c r="D2210" i="1"/>
  <c r="C2210" i="1"/>
  <c r="B2210" i="1"/>
  <c r="A2210" i="1"/>
  <c r="J2209" i="1"/>
  <c r="I2209" i="1"/>
  <c r="H2209" i="1"/>
  <c r="G2209" i="1"/>
  <c r="F2209" i="1"/>
  <c r="E2209" i="1"/>
  <c r="D2209" i="1"/>
  <c r="C2209" i="1"/>
  <c r="B2209" i="1"/>
  <c r="A2209" i="1"/>
  <c r="J2208" i="1"/>
  <c r="I2208" i="1"/>
  <c r="H2208" i="1"/>
  <c r="G2208" i="1"/>
  <c r="F2208" i="1"/>
  <c r="E2208" i="1"/>
  <c r="D2208" i="1"/>
  <c r="C2208" i="1"/>
  <c r="B2208" i="1"/>
  <c r="A2208" i="1"/>
  <c r="J2207" i="1"/>
  <c r="I2207" i="1"/>
  <c r="H2207" i="1"/>
  <c r="G2207" i="1"/>
  <c r="F2207" i="1"/>
  <c r="E2207" i="1"/>
  <c r="D2207" i="1"/>
  <c r="C2207" i="1"/>
  <c r="B2207" i="1"/>
  <c r="A2207" i="1"/>
  <c r="J2206" i="1"/>
  <c r="I2206" i="1"/>
  <c r="H2206" i="1"/>
  <c r="G2206" i="1"/>
  <c r="F2206" i="1"/>
  <c r="E2206" i="1"/>
  <c r="D2206" i="1"/>
  <c r="C2206" i="1"/>
  <c r="B2206" i="1"/>
  <c r="A2206" i="1"/>
  <c r="J2205" i="1"/>
  <c r="I2205" i="1"/>
  <c r="H2205" i="1"/>
  <c r="G2205" i="1"/>
  <c r="F2205" i="1"/>
  <c r="E2205" i="1"/>
  <c r="D2205" i="1"/>
  <c r="C2205" i="1"/>
  <c r="B2205" i="1"/>
  <c r="A2205" i="1"/>
  <c r="J2204" i="1"/>
  <c r="I2204" i="1"/>
  <c r="H2204" i="1"/>
  <c r="G2204" i="1"/>
  <c r="F2204" i="1"/>
  <c r="E2204" i="1"/>
  <c r="D2204" i="1"/>
  <c r="C2204" i="1"/>
  <c r="B2204" i="1"/>
  <c r="A2204" i="1"/>
  <c r="J2203" i="1"/>
  <c r="I2203" i="1"/>
  <c r="H2203" i="1"/>
  <c r="G2203" i="1"/>
  <c r="F2203" i="1"/>
  <c r="E2203" i="1"/>
  <c r="D2203" i="1"/>
  <c r="C2203" i="1"/>
  <c r="B2203" i="1"/>
  <c r="A2203" i="1"/>
  <c r="J2202" i="1"/>
  <c r="I2202" i="1"/>
  <c r="H2202" i="1"/>
  <c r="G2202" i="1"/>
  <c r="F2202" i="1"/>
  <c r="E2202" i="1"/>
  <c r="D2202" i="1"/>
  <c r="C2202" i="1"/>
  <c r="B2202" i="1"/>
  <c r="A2202" i="1"/>
  <c r="J2201" i="1"/>
  <c r="I2201" i="1"/>
  <c r="H2201" i="1"/>
  <c r="G2201" i="1"/>
  <c r="F2201" i="1"/>
  <c r="E2201" i="1"/>
  <c r="D2201" i="1"/>
  <c r="C2201" i="1"/>
  <c r="B2201" i="1"/>
  <c r="A2201" i="1"/>
  <c r="J2200" i="1"/>
  <c r="I2200" i="1"/>
  <c r="H2200" i="1"/>
  <c r="G2200" i="1"/>
  <c r="F2200" i="1"/>
  <c r="E2200" i="1"/>
  <c r="D2200" i="1"/>
  <c r="C2200" i="1"/>
  <c r="B2200" i="1"/>
  <c r="A2200" i="1"/>
  <c r="J2199" i="1"/>
  <c r="I2199" i="1"/>
  <c r="H2199" i="1"/>
  <c r="G2199" i="1"/>
  <c r="F2199" i="1"/>
  <c r="E2199" i="1"/>
  <c r="D2199" i="1"/>
  <c r="C2199" i="1"/>
  <c r="B2199" i="1"/>
  <c r="A2199" i="1"/>
  <c r="J2198" i="1"/>
  <c r="I2198" i="1"/>
  <c r="H2198" i="1"/>
  <c r="G2198" i="1"/>
  <c r="F2198" i="1"/>
  <c r="E2198" i="1"/>
  <c r="D2198" i="1"/>
  <c r="C2198" i="1"/>
  <c r="B2198" i="1"/>
  <c r="A2198" i="1"/>
  <c r="J2197" i="1"/>
  <c r="I2197" i="1"/>
  <c r="H2197" i="1"/>
  <c r="G2197" i="1"/>
  <c r="F2197" i="1"/>
  <c r="E2197" i="1"/>
  <c r="D2197" i="1"/>
  <c r="C2197" i="1"/>
  <c r="B2197" i="1"/>
  <c r="A2197" i="1"/>
  <c r="J2196" i="1"/>
  <c r="I2196" i="1"/>
  <c r="H2196" i="1"/>
  <c r="G2196" i="1"/>
  <c r="F2196" i="1"/>
  <c r="E2196" i="1"/>
  <c r="D2196" i="1"/>
  <c r="C2196" i="1"/>
  <c r="B2196" i="1"/>
  <c r="A2196" i="1"/>
  <c r="J2195" i="1"/>
  <c r="I2195" i="1"/>
  <c r="H2195" i="1"/>
  <c r="G2195" i="1"/>
  <c r="F2195" i="1"/>
  <c r="E2195" i="1"/>
  <c r="D2195" i="1"/>
  <c r="C2195" i="1"/>
  <c r="B2195" i="1"/>
  <c r="A2195" i="1"/>
  <c r="J2194" i="1"/>
  <c r="I2194" i="1"/>
  <c r="H2194" i="1"/>
  <c r="G2194" i="1"/>
  <c r="F2194" i="1"/>
  <c r="E2194" i="1"/>
  <c r="D2194" i="1"/>
  <c r="C2194" i="1"/>
  <c r="B2194" i="1"/>
  <c r="A2194" i="1"/>
  <c r="J2193" i="1"/>
  <c r="I2193" i="1"/>
  <c r="H2193" i="1"/>
  <c r="G2193" i="1"/>
  <c r="F2193" i="1"/>
  <c r="E2193" i="1"/>
  <c r="D2193" i="1"/>
  <c r="C2193" i="1"/>
  <c r="B2193" i="1"/>
  <c r="A2193" i="1"/>
  <c r="J2192" i="1"/>
  <c r="I2192" i="1"/>
  <c r="H2192" i="1"/>
  <c r="G2192" i="1"/>
  <c r="F2192" i="1"/>
  <c r="E2192" i="1"/>
  <c r="D2192" i="1"/>
  <c r="C2192" i="1"/>
  <c r="B2192" i="1"/>
  <c r="A2192" i="1"/>
  <c r="J2191" i="1"/>
  <c r="I2191" i="1"/>
  <c r="H2191" i="1"/>
  <c r="G2191" i="1"/>
  <c r="F2191" i="1"/>
  <c r="E2191" i="1"/>
  <c r="D2191" i="1"/>
  <c r="C2191" i="1"/>
  <c r="B2191" i="1"/>
  <c r="A2191" i="1"/>
  <c r="J2190" i="1"/>
  <c r="I2190" i="1"/>
  <c r="H2190" i="1"/>
  <c r="G2190" i="1"/>
  <c r="F2190" i="1"/>
  <c r="E2190" i="1"/>
  <c r="D2190" i="1"/>
  <c r="C2190" i="1"/>
  <c r="B2190" i="1"/>
  <c r="A2190" i="1"/>
  <c r="J2189" i="1"/>
  <c r="I2189" i="1"/>
  <c r="H2189" i="1"/>
  <c r="G2189" i="1"/>
  <c r="F2189" i="1"/>
  <c r="E2189" i="1"/>
  <c r="D2189" i="1"/>
  <c r="C2189" i="1"/>
  <c r="B2189" i="1"/>
  <c r="A2189" i="1"/>
  <c r="J2188" i="1"/>
  <c r="I2188" i="1"/>
  <c r="H2188" i="1"/>
  <c r="G2188" i="1"/>
  <c r="F2188" i="1"/>
  <c r="E2188" i="1"/>
  <c r="D2188" i="1"/>
  <c r="C2188" i="1"/>
  <c r="B2188" i="1"/>
  <c r="A2188" i="1"/>
  <c r="J2187" i="1"/>
  <c r="I2187" i="1"/>
  <c r="H2187" i="1"/>
  <c r="G2187" i="1"/>
  <c r="F2187" i="1"/>
  <c r="E2187" i="1"/>
  <c r="D2187" i="1"/>
  <c r="C2187" i="1"/>
  <c r="B2187" i="1"/>
  <c r="A2187" i="1"/>
  <c r="J2186" i="1"/>
  <c r="I2186" i="1"/>
  <c r="H2186" i="1"/>
  <c r="G2186" i="1"/>
  <c r="F2186" i="1"/>
  <c r="E2186" i="1"/>
  <c r="D2186" i="1"/>
  <c r="C2186" i="1"/>
  <c r="B2186" i="1"/>
  <c r="A2186" i="1"/>
  <c r="J2185" i="1"/>
  <c r="I2185" i="1"/>
  <c r="H2185" i="1"/>
  <c r="G2185" i="1"/>
  <c r="F2185" i="1"/>
  <c r="E2185" i="1"/>
  <c r="D2185" i="1"/>
  <c r="C2185" i="1"/>
  <c r="B2185" i="1"/>
  <c r="A2185" i="1"/>
  <c r="J2184" i="1"/>
  <c r="I2184" i="1"/>
  <c r="H2184" i="1"/>
  <c r="G2184" i="1"/>
  <c r="F2184" i="1"/>
  <c r="E2184" i="1"/>
  <c r="D2184" i="1"/>
  <c r="C2184" i="1"/>
  <c r="B2184" i="1"/>
  <c r="A2184" i="1"/>
  <c r="J2183" i="1"/>
  <c r="I2183" i="1"/>
  <c r="H2183" i="1"/>
  <c r="G2183" i="1"/>
  <c r="F2183" i="1"/>
  <c r="E2183" i="1"/>
  <c r="D2183" i="1"/>
  <c r="C2183" i="1"/>
  <c r="B2183" i="1"/>
  <c r="A2183" i="1"/>
  <c r="J2182" i="1"/>
  <c r="I2182" i="1"/>
  <c r="H2182" i="1"/>
  <c r="G2182" i="1"/>
  <c r="F2182" i="1"/>
  <c r="E2182" i="1"/>
  <c r="D2182" i="1"/>
  <c r="C2182" i="1"/>
  <c r="B2182" i="1"/>
  <c r="A2182" i="1"/>
  <c r="J2181" i="1"/>
  <c r="I2181" i="1"/>
  <c r="H2181" i="1"/>
  <c r="G2181" i="1"/>
  <c r="F2181" i="1"/>
  <c r="E2181" i="1"/>
  <c r="D2181" i="1"/>
  <c r="C2181" i="1"/>
  <c r="B2181" i="1"/>
  <c r="A2181" i="1"/>
  <c r="J2180" i="1"/>
  <c r="I2180" i="1"/>
  <c r="H2180" i="1"/>
  <c r="G2180" i="1"/>
  <c r="F2180" i="1"/>
  <c r="E2180" i="1"/>
  <c r="D2180" i="1"/>
  <c r="C2180" i="1"/>
  <c r="B2180" i="1"/>
  <c r="A2180" i="1"/>
  <c r="J2179" i="1"/>
  <c r="I2179" i="1"/>
  <c r="H2179" i="1"/>
  <c r="G2179" i="1"/>
  <c r="F2179" i="1"/>
  <c r="E2179" i="1"/>
  <c r="D2179" i="1"/>
  <c r="C2179" i="1"/>
  <c r="B2179" i="1"/>
  <c r="A2179" i="1"/>
  <c r="J2178" i="1"/>
  <c r="I2178" i="1"/>
  <c r="H2178" i="1"/>
  <c r="G2178" i="1"/>
  <c r="F2178" i="1"/>
  <c r="E2178" i="1"/>
  <c r="C2178" i="1"/>
  <c r="B2178" i="1"/>
  <c r="A2178" i="1"/>
  <c r="J2177" i="1"/>
  <c r="I2177" i="1"/>
  <c r="H2177" i="1"/>
  <c r="G2177" i="1"/>
  <c r="F2177" i="1"/>
  <c r="E2177" i="1"/>
  <c r="D2177" i="1"/>
  <c r="C2177" i="1"/>
  <c r="B2177" i="1"/>
  <c r="A2177" i="1"/>
  <c r="J2176" i="1"/>
  <c r="I2176" i="1"/>
  <c r="H2176" i="1"/>
  <c r="G2176" i="1"/>
  <c r="F2176" i="1"/>
  <c r="E2176" i="1"/>
  <c r="D2176" i="1"/>
  <c r="C2176" i="1"/>
  <c r="B2176" i="1"/>
  <c r="A2176" i="1"/>
  <c r="J2175" i="1"/>
  <c r="I2175" i="1"/>
  <c r="H2175" i="1"/>
  <c r="G2175" i="1"/>
  <c r="F2175" i="1"/>
  <c r="E2175" i="1"/>
  <c r="D2175" i="1"/>
  <c r="C2175" i="1"/>
  <c r="B2175" i="1"/>
  <c r="A2175" i="1"/>
  <c r="J2174" i="1"/>
  <c r="I2174" i="1"/>
  <c r="H2174" i="1"/>
  <c r="G2174" i="1"/>
  <c r="F2174" i="1"/>
  <c r="E2174" i="1"/>
  <c r="D2174" i="1"/>
  <c r="C2174" i="1"/>
  <c r="B2174" i="1"/>
  <c r="A2174" i="1"/>
  <c r="J2173" i="1"/>
  <c r="I2173" i="1"/>
  <c r="H2173" i="1"/>
  <c r="G2173" i="1"/>
  <c r="F2173" i="1"/>
  <c r="E2173" i="1"/>
  <c r="D2173" i="1"/>
  <c r="C2173" i="1"/>
  <c r="B2173" i="1"/>
  <c r="A2173" i="1"/>
  <c r="J2172" i="1"/>
  <c r="I2172" i="1"/>
  <c r="H2172" i="1"/>
  <c r="G2172" i="1"/>
  <c r="F2172" i="1"/>
  <c r="E2172" i="1"/>
  <c r="D2172" i="1"/>
  <c r="C2172" i="1"/>
  <c r="B2172" i="1"/>
  <c r="A2172" i="1"/>
  <c r="J2171" i="1"/>
  <c r="I2171" i="1"/>
  <c r="H2171" i="1"/>
  <c r="G2171" i="1"/>
  <c r="F2171" i="1"/>
  <c r="E2171" i="1"/>
  <c r="D2171" i="1"/>
  <c r="C2171" i="1"/>
  <c r="B2171" i="1"/>
  <c r="A2171" i="1"/>
  <c r="J2170" i="1"/>
  <c r="I2170" i="1"/>
  <c r="H2170" i="1"/>
  <c r="G2170" i="1"/>
  <c r="F2170" i="1"/>
  <c r="E2170" i="1"/>
  <c r="D2170" i="1"/>
  <c r="C2170" i="1"/>
  <c r="B2170" i="1"/>
  <c r="A2170" i="1"/>
  <c r="J2169" i="1"/>
  <c r="I2169" i="1"/>
  <c r="H2169" i="1"/>
  <c r="G2169" i="1"/>
  <c r="F2169" i="1"/>
  <c r="E2169" i="1"/>
  <c r="D2169" i="1"/>
  <c r="C2169" i="1"/>
  <c r="B2169" i="1"/>
  <c r="A2169" i="1"/>
  <c r="J2168" i="1"/>
  <c r="I2168" i="1"/>
  <c r="H2168" i="1"/>
  <c r="G2168" i="1"/>
  <c r="F2168" i="1"/>
  <c r="E2168" i="1"/>
  <c r="D2168" i="1"/>
  <c r="C2168" i="1"/>
  <c r="B2168" i="1"/>
  <c r="A2168" i="1"/>
  <c r="J2167" i="1"/>
  <c r="I2167" i="1"/>
  <c r="H2167" i="1"/>
  <c r="G2167" i="1"/>
  <c r="F2167" i="1"/>
  <c r="E2167" i="1"/>
  <c r="D2167" i="1"/>
  <c r="C2167" i="1"/>
  <c r="B2167" i="1"/>
  <c r="A2167" i="1"/>
  <c r="J2166" i="1"/>
  <c r="I2166" i="1"/>
  <c r="H2166" i="1"/>
  <c r="G2166" i="1"/>
  <c r="F2166" i="1"/>
  <c r="E2166" i="1"/>
  <c r="D2166" i="1"/>
  <c r="C2166" i="1"/>
  <c r="B2166" i="1"/>
  <c r="A2166" i="1"/>
  <c r="J2165" i="1"/>
  <c r="I2165" i="1"/>
  <c r="H2165" i="1"/>
  <c r="G2165" i="1"/>
  <c r="F2165" i="1"/>
  <c r="E2165" i="1"/>
  <c r="D2165" i="1"/>
  <c r="C2165" i="1"/>
  <c r="B2165" i="1"/>
  <c r="A2165" i="1"/>
  <c r="J2164" i="1"/>
  <c r="I2164" i="1"/>
  <c r="H2164" i="1"/>
  <c r="G2164" i="1"/>
  <c r="F2164" i="1"/>
  <c r="E2164" i="1"/>
  <c r="D2164" i="1"/>
  <c r="C2164" i="1"/>
  <c r="B2164" i="1"/>
  <c r="A2164" i="1"/>
  <c r="J2163" i="1"/>
  <c r="I2163" i="1"/>
  <c r="H2163" i="1"/>
  <c r="G2163" i="1"/>
  <c r="F2163" i="1"/>
  <c r="E2163" i="1"/>
  <c r="D2163" i="1"/>
  <c r="C2163" i="1"/>
  <c r="B2163" i="1"/>
  <c r="A2163" i="1"/>
  <c r="J2162" i="1"/>
  <c r="I2162" i="1"/>
  <c r="H2162" i="1"/>
  <c r="G2162" i="1"/>
  <c r="F2162" i="1"/>
  <c r="E2162" i="1"/>
  <c r="D2162" i="1"/>
  <c r="C2162" i="1"/>
  <c r="B2162" i="1"/>
  <c r="A2162" i="1"/>
  <c r="J2161" i="1"/>
  <c r="I2161" i="1"/>
  <c r="H2161" i="1"/>
  <c r="G2161" i="1"/>
  <c r="F2161" i="1"/>
  <c r="E2161" i="1"/>
  <c r="D2161" i="1"/>
  <c r="C2161" i="1"/>
  <c r="B2161" i="1"/>
  <c r="A2161" i="1"/>
  <c r="J2160" i="1"/>
  <c r="I2160" i="1"/>
  <c r="H2160" i="1"/>
  <c r="G2160" i="1"/>
  <c r="F2160" i="1"/>
  <c r="E2160" i="1"/>
  <c r="D2160" i="1"/>
  <c r="C2160" i="1"/>
  <c r="B2160" i="1"/>
  <c r="A2160" i="1"/>
  <c r="J2159" i="1"/>
  <c r="I2159" i="1"/>
  <c r="H2159" i="1"/>
  <c r="G2159" i="1"/>
  <c r="F2159" i="1"/>
  <c r="E2159" i="1"/>
  <c r="D2159" i="1"/>
  <c r="C2159" i="1"/>
  <c r="B2159" i="1"/>
  <c r="A2159" i="1"/>
  <c r="J2158" i="1"/>
  <c r="I2158" i="1"/>
  <c r="H2158" i="1"/>
  <c r="G2158" i="1"/>
  <c r="F2158" i="1"/>
  <c r="E2158" i="1"/>
  <c r="D2158" i="1"/>
  <c r="C2158" i="1"/>
  <c r="B2158" i="1"/>
  <c r="A2158" i="1"/>
  <c r="J2157" i="1"/>
  <c r="I2157" i="1"/>
  <c r="H2157" i="1"/>
  <c r="G2157" i="1"/>
  <c r="F2157" i="1"/>
  <c r="E2157" i="1"/>
  <c r="D2157" i="1"/>
  <c r="C2157" i="1"/>
  <c r="B2157" i="1"/>
  <c r="A2157" i="1"/>
  <c r="J2156" i="1"/>
  <c r="I2156" i="1"/>
  <c r="H2156" i="1"/>
  <c r="G2156" i="1"/>
  <c r="F2156" i="1"/>
  <c r="E2156" i="1"/>
  <c r="D2156" i="1"/>
  <c r="C2156" i="1"/>
  <c r="B2156" i="1"/>
  <c r="A2156" i="1"/>
  <c r="J2155" i="1"/>
  <c r="I2155" i="1"/>
  <c r="H2155" i="1"/>
  <c r="G2155" i="1"/>
  <c r="F2155" i="1"/>
  <c r="E2155" i="1"/>
  <c r="D2155" i="1"/>
  <c r="C2155" i="1"/>
  <c r="B2155" i="1"/>
  <c r="A2155" i="1"/>
  <c r="J2154" i="1"/>
  <c r="I2154" i="1"/>
  <c r="H2154" i="1"/>
  <c r="G2154" i="1"/>
  <c r="F2154" i="1"/>
  <c r="E2154" i="1"/>
  <c r="D2154" i="1"/>
  <c r="C2154" i="1"/>
  <c r="B2154" i="1"/>
  <c r="A2154" i="1"/>
  <c r="J2153" i="1"/>
  <c r="I2153" i="1"/>
  <c r="H2153" i="1"/>
  <c r="G2153" i="1"/>
  <c r="F2153" i="1"/>
  <c r="E2153" i="1"/>
  <c r="D2153" i="1"/>
  <c r="C2153" i="1"/>
  <c r="B2153" i="1"/>
  <c r="A2153" i="1"/>
  <c r="J2152" i="1"/>
  <c r="I2152" i="1"/>
  <c r="H2152" i="1"/>
  <c r="G2152" i="1"/>
  <c r="F2152" i="1"/>
  <c r="E2152" i="1"/>
  <c r="D2152" i="1"/>
  <c r="C2152" i="1"/>
  <c r="B2152" i="1"/>
  <c r="A2152" i="1"/>
  <c r="J2151" i="1"/>
  <c r="I2151" i="1"/>
  <c r="H2151" i="1"/>
  <c r="G2151" i="1"/>
  <c r="F2151" i="1"/>
  <c r="E2151" i="1"/>
  <c r="D2151" i="1"/>
  <c r="C2151" i="1"/>
  <c r="B2151" i="1"/>
  <c r="A2151" i="1"/>
  <c r="J2150" i="1"/>
  <c r="I2150" i="1"/>
  <c r="H2150" i="1"/>
  <c r="G2150" i="1"/>
  <c r="F2150" i="1"/>
  <c r="E2150" i="1"/>
  <c r="D2150" i="1"/>
  <c r="C2150" i="1"/>
  <c r="B2150" i="1"/>
  <c r="A2150" i="1"/>
  <c r="J2149" i="1"/>
  <c r="I2149" i="1"/>
  <c r="H2149" i="1"/>
  <c r="G2149" i="1"/>
  <c r="F2149" i="1"/>
  <c r="E2149" i="1"/>
  <c r="D2149" i="1"/>
  <c r="C2149" i="1"/>
  <c r="B2149" i="1"/>
  <c r="A2149" i="1"/>
  <c r="J2148" i="1"/>
  <c r="I2148" i="1"/>
  <c r="H2148" i="1"/>
  <c r="G2148" i="1"/>
  <c r="F2148" i="1"/>
  <c r="E2148" i="1"/>
  <c r="C2148" i="1"/>
  <c r="B2148" i="1"/>
  <c r="A2148" i="1"/>
  <c r="J2147" i="1"/>
  <c r="I2147" i="1"/>
  <c r="H2147" i="1"/>
  <c r="G2147" i="1"/>
  <c r="F2147" i="1"/>
  <c r="E2147" i="1"/>
  <c r="D2147" i="1"/>
  <c r="C2147" i="1"/>
  <c r="B2147" i="1"/>
  <c r="A2147" i="1"/>
  <c r="J2146" i="1"/>
  <c r="I2146" i="1"/>
  <c r="H2146" i="1"/>
  <c r="G2146" i="1"/>
  <c r="F2146" i="1"/>
  <c r="E2146" i="1"/>
  <c r="D2146" i="1"/>
  <c r="C2146" i="1"/>
  <c r="B2146" i="1"/>
  <c r="A2146" i="1"/>
  <c r="J2145" i="1"/>
  <c r="I2145" i="1"/>
  <c r="H2145" i="1"/>
  <c r="G2145" i="1"/>
  <c r="F2145" i="1"/>
  <c r="E2145" i="1"/>
  <c r="D2145" i="1"/>
  <c r="C2145" i="1"/>
  <c r="B2145" i="1"/>
  <c r="A2145" i="1"/>
  <c r="J2144" i="1"/>
  <c r="I2144" i="1"/>
  <c r="H2144" i="1"/>
  <c r="G2144" i="1"/>
  <c r="F2144" i="1"/>
  <c r="E2144" i="1"/>
  <c r="D2144" i="1"/>
  <c r="C2144" i="1"/>
  <c r="B2144" i="1"/>
  <c r="A2144" i="1"/>
  <c r="J2143" i="1"/>
  <c r="I2143" i="1"/>
  <c r="H2143" i="1"/>
  <c r="G2143" i="1"/>
  <c r="F2143" i="1"/>
  <c r="E2143" i="1"/>
  <c r="D2143" i="1"/>
  <c r="C2143" i="1"/>
  <c r="B2143" i="1"/>
  <c r="A2143" i="1"/>
  <c r="J2142" i="1"/>
  <c r="I2142" i="1"/>
  <c r="H2142" i="1"/>
  <c r="G2142" i="1"/>
  <c r="F2142" i="1"/>
  <c r="E2142" i="1"/>
  <c r="D2142" i="1"/>
  <c r="C2142" i="1"/>
  <c r="B2142" i="1"/>
  <c r="A2142" i="1"/>
  <c r="J2141" i="1"/>
  <c r="I2141" i="1"/>
  <c r="H2141" i="1"/>
  <c r="G2141" i="1"/>
  <c r="F2141" i="1"/>
  <c r="E2141" i="1"/>
  <c r="D2141" i="1"/>
  <c r="C2141" i="1"/>
  <c r="B2141" i="1"/>
  <c r="A2141" i="1"/>
  <c r="J2140" i="1"/>
  <c r="I2140" i="1"/>
  <c r="H2140" i="1"/>
  <c r="G2140" i="1"/>
  <c r="F2140" i="1"/>
  <c r="E2140" i="1"/>
  <c r="D2140" i="1"/>
  <c r="C2140" i="1"/>
  <c r="B2140" i="1"/>
  <c r="A2140" i="1"/>
  <c r="J2139" i="1"/>
  <c r="I2139" i="1"/>
  <c r="H2139" i="1"/>
  <c r="G2139" i="1"/>
  <c r="F2139" i="1"/>
  <c r="E2139" i="1"/>
  <c r="D2139" i="1"/>
  <c r="C2139" i="1"/>
  <c r="B2139" i="1"/>
  <c r="A2139" i="1"/>
  <c r="J2138" i="1"/>
  <c r="I2138" i="1"/>
  <c r="H2138" i="1"/>
  <c r="G2138" i="1"/>
  <c r="F2138" i="1"/>
  <c r="E2138" i="1"/>
  <c r="D2138" i="1"/>
  <c r="C2138" i="1"/>
  <c r="B2138" i="1"/>
  <c r="A2138" i="1"/>
  <c r="J2137" i="1"/>
  <c r="I2137" i="1"/>
  <c r="H2137" i="1"/>
  <c r="G2137" i="1"/>
  <c r="F2137" i="1"/>
  <c r="E2137" i="1"/>
  <c r="D2137" i="1"/>
  <c r="C2137" i="1"/>
  <c r="B2137" i="1"/>
  <c r="A2137" i="1"/>
  <c r="J2136" i="1"/>
  <c r="I2136" i="1"/>
  <c r="H2136" i="1"/>
  <c r="G2136" i="1"/>
  <c r="F2136" i="1"/>
  <c r="E2136" i="1"/>
  <c r="D2136" i="1"/>
  <c r="C2136" i="1"/>
  <c r="B2136" i="1"/>
  <c r="A2136" i="1"/>
  <c r="J2135" i="1"/>
  <c r="I2135" i="1"/>
  <c r="H2135" i="1"/>
  <c r="G2135" i="1"/>
  <c r="F2135" i="1"/>
  <c r="E2135" i="1"/>
  <c r="D2135" i="1"/>
  <c r="C2135" i="1"/>
  <c r="B2135" i="1"/>
  <c r="A2135" i="1"/>
  <c r="J2134" i="1"/>
  <c r="I2134" i="1"/>
  <c r="H2134" i="1"/>
  <c r="G2134" i="1"/>
  <c r="F2134" i="1"/>
  <c r="E2134" i="1"/>
  <c r="D2134" i="1"/>
  <c r="C2134" i="1"/>
  <c r="B2134" i="1"/>
  <c r="A2134" i="1"/>
  <c r="J2133" i="1"/>
  <c r="I2133" i="1"/>
  <c r="H2133" i="1"/>
  <c r="G2133" i="1"/>
  <c r="F2133" i="1"/>
  <c r="E2133" i="1"/>
  <c r="D2133" i="1"/>
  <c r="C2133" i="1"/>
  <c r="B2133" i="1"/>
  <c r="A2133" i="1"/>
  <c r="J2132" i="1"/>
  <c r="I2132" i="1"/>
  <c r="H2132" i="1"/>
  <c r="G2132" i="1"/>
  <c r="F2132" i="1"/>
  <c r="E2132" i="1"/>
  <c r="D2132" i="1"/>
  <c r="C2132" i="1"/>
  <c r="B2132" i="1"/>
  <c r="A2132" i="1"/>
  <c r="J2131" i="1"/>
  <c r="I2131" i="1"/>
  <c r="H2131" i="1"/>
  <c r="G2131" i="1"/>
  <c r="F2131" i="1"/>
  <c r="E2131" i="1"/>
  <c r="D2131" i="1"/>
  <c r="C2131" i="1"/>
  <c r="B2131" i="1"/>
  <c r="A2131" i="1"/>
  <c r="J2130" i="1"/>
  <c r="I2130" i="1"/>
  <c r="H2130" i="1"/>
  <c r="G2130" i="1"/>
  <c r="F2130" i="1"/>
  <c r="E2130" i="1"/>
  <c r="D2130" i="1"/>
  <c r="C2130" i="1"/>
  <c r="B2130" i="1"/>
  <c r="A2130" i="1"/>
  <c r="J2129" i="1"/>
  <c r="I2129" i="1"/>
  <c r="H2129" i="1"/>
  <c r="G2129" i="1"/>
  <c r="F2129" i="1"/>
  <c r="E2129" i="1"/>
  <c r="D2129" i="1"/>
  <c r="C2129" i="1"/>
  <c r="B2129" i="1"/>
  <c r="A2129" i="1"/>
  <c r="J2128" i="1"/>
  <c r="I2128" i="1"/>
  <c r="H2128" i="1"/>
  <c r="G2128" i="1"/>
  <c r="F2128" i="1"/>
  <c r="E2128" i="1"/>
  <c r="D2128" i="1"/>
  <c r="C2128" i="1"/>
  <c r="B2128" i="1"/>
  <c r="A2128" i="1"/>
  <c r="J2127" i="1"/>
  <c r="I2127" i="1"/>
  <c r="H2127" i="1"/>
  <c r="G2127" i="1"/>
  <c r="F2127" i="1"/>
  <c r="E2127" i="1"/>
  <c r="D2127" i="1"/>
  <c r="C2127" i="1"/>
  <c r="B2127" i="1"/>
  <c r="A2127" i="1"/>
  <c r="J2126" i="1"/>
  <c r="I2126" i="1"/>
  <c r="H2126" i="1"/>
  <c r="G2126" i="1"/>
  <c r="F2126" i="1"/>
  <c r="E2126" i="1"/>
  <c r="D2126" i="1"/>
  <c r="C2126" i="1"/>
  <c r="B2126" i="1"/>
  <c r="A2126" i="1"/>
  <c r="J2125" i="1"/>
  <c r="I2125" i="1"/>
  <c r="H2125" i="1"/>
  <c r="G2125" i="1"/>
  <c r="F2125" i="1"/>
  <c r="E2125" i="1"/>
  <c r="D2125" i="1"/>
  <c r="C2125" i="1"/>
  <c r="B2125" i="1"/>
  <c r="A2125" i="1"/>
  <c r="J2124" i="1"/>
  <c r="I2124" i="1"/>
  <c r="H2124" i="1"/>
  <c r="G2124" i="1"/>
  <c r="F2124" i="1"/>
  <c r="E2124" i="1"/>
  <c r="D2124" i="1"/>
  <c r="C2124" i="1"/>
  <c r="B2124" i="1"/>
  <c r="A2124" i="1"/>
  <c r="J2123" i="1"/>
  <c r="I2123" i="1"/>
  <c r="H2123" i="1"/>
  <c r="G2123" i="1"/>
  <c r="F2123" i="1"/>
  <c r="E2123" i="1"/>
  <c r="D2123" i="1"/>
  <c r="C2123" i="1"/>
  <c r="B2123" i="1"/>
  <c r="A2123" i="1"/>
  <c r="J2122" i="1"/>
  <c r="I2122" i="1"/>
  <c r="H2122" i="1"/>
  <c r="G2122" i="1"/>
  <c r="F2122" i="1"/>
  <c r="E2122" i="1"/>
  <c r="D2122" i="1"/>
  <c r="C2122" i="1"/>
  <c r="B2122" i="1"/>
  <c r="A2122" i="1"/>
  <c r="J2121" i="1"/>
  <c r="I2121" i="1"/>
  <c r="H2121" i="1"/>
  <c r="G2121" i="1"/>
  <c r="F2121" i="1"/>
  <c r="E2121" i="1"/>
  <c r="D2121" i="1"/>
  <c r="C2121" i="1"/>
  <c r="B2121" i="1"/>
  <c r="A2121" i="1"/>
  <c r="J2120" i="1"/>
  <c r="I2120" i="1"/>
  <c r="H2120" i="1"/>
  <c r="G2120" i="1"/>
  <c r="F2120" i="1"/>
  <c r="E2120" i="1"/>
  <c r="D2120" i="1"/>
  <c r="C2120" i="1"/>
  <c r="B2120" i="1"/>
  <c r="A2120" i="1"/>
  <c r="J2119" i="1"/>
  <c r="I2119" i="1"/>
  <c r="H2119" i="1"/>
  <c r="G2119" i="1"/>
  <c r="F2119" i="1"/>
  <c r="E2119" i="1"/>
  <c r="D2119" i="1"/>
  <c r="C2119" i="1"/>
  <c r="B2119" i="1"/>
  <c r="A2119" i="1"/>
  <c r="J2118" i="1"/>
  <c r="I2118" i="1"/>
  <c r="H2118" i="1"/>
  <c r="G2118" i="1"/>
  <c r="F2118" i="1"/>
  <c r="E2118" i="1"/>
  <c r="D2118" i="1"/>
  <c r="C2118" i="1"/>
  <c r="B2118" i="1"/>
  <c r="A2118" i="1"/>
  <c r="J2117" i="1"/>
  <c r="I2117" i="1"/>
  <c r="H2117" i="1"/>
  <c r="G2117" i="1"/>
  <c r="F2117" i="1"/>
  <c r="E2117" i="1"/>
  <c r="D2117" i="1"/>
  <c r="C2117" i="1"/>
  <c r="B2117" i="1"/>
  <c r="A2117" i="1"/>
  <c r="J2116" i="1"/>
  <c r="I2116" i="1"/>
  <c r="H2116" i="1"/>
  <c r="G2116" i="1"/>
  <c r="F2116" i="1"/>
  <c r="E2116" i="1"/>
  <c r="D2116" i="1"/>
  <c r="C2116" i="1"/>
  <c r="B2116" i="1"/>
  <c r="A2116" i="1"/>
  <c r="J2115" i="1"/>
  <c r="I2115" i="1"/>
  <c r="H2115" i="1"/>
  <c r="G2115" i="1"/>
  <c r="F2115" i="1"/>
  <c r="E2115" i="1"/>
  <c r="D2115" i="1"/>
  <c r="C2115" i="1"/>
  <c r="B2115" i="1"/>
  <c r="A2115" i="1"/>
  <c r="J2114" i="1"/>
  <c r="I2114" i="1"/>
  <c r="H2114" i="1"/>
  <c r="G2114" i="1"/>
  <c r="F2114" i="1"/>
  <c r="E2114" i="1"/>
  <c r="D2114" i="1"/>
  <c r="C2114" i="1"/>
  <c r="B2114" i="1"/>
  <c r="A2114" i="1"/>
  <c r="J2113" i="1"/>
  <c r="I2113" i="1"/>
  <c r="H2113" i="1"/>
  <c r="G2113" i="1"/>
  <c r="F2113" i="1"/>
  <c r="E2113" i="1"/>
  <c r="D2113" i="1"/>
  <c r="C2113" i="1"/>
  <c r="B2113" i="1"/>
  <c r="A2113" i="1"/>
  <c r="J2112" i="1"/>
  <c r="I2112" i="1"/>
  <c r="H2112" i="1"/>
  <c r="G2112" i="1"/>
  <c r="F2112" i="1"/>
  <c r="E2112" i="1"/>
  <c r="D2112" i="1"/>
  <c r="C2112" i="1"/>
  <c r="B2112" i="1"/>
  <c r="A2112" i="1"/>
  <c r="J2111" i="1"/>
  <c r="I2111" i="1"/>
  <c r="H2111" i="1"/>
  <c r="G2111" i="1"/>
  <c r="F2111" i="1"/>
  <c r="E2111" i="1"/>
  <c r="D2111" i="1"/>
  <c r="C2111" i="1"/>
  <c r="B2111" i="1"/>
  <c r="A2111" i="1"/>
  <c r="J2110" i="1"/>
  <c r="I2110" i="1"/>
  <c r="H2110" i="1"/>
  <c r="G2110" i="1"/>
  <c r="F2110" i="1"/>
  <c r="E2110" i="1"/>
  <c r="D2110" i="1"/>
  <c r="C2110" i="1"/>
  <c r="B2110" i="1"/>
  <c r="A2110" i="1"/>
  <c r="J2109" i="1"/>
  <c r="I2109" i="1"/>
  <c r="H2109" i="1"/>
  <c r="G2109" i="1"/>
  <c r="F2109" i="1"/>
  <c r="E2109" i="1"/>
  <c r="D2109" i="1"/>
  <c r="C2109" i="1"/>
  <c r="B2109" i="1"/>
  <c r="A2109" i="1"/>
  <c r="J2108" i="1"/>
  <c r="I2108" i="1"/>
  <c r="H2108" i="1"/>
  <c r="G2108" i="1"/>
  <c r="F2108" i="1"/>
  <c r="E2108" i="1"/>
  <c r="D2108" i="1"/>
  <c r="C2108" i="1"/>
  <c r="B2108" i="1"/>
  <c r="A2108" i="1"/>
  <c r="J2107" i="1"/>
  <c r="I2107" i="1"/>
  <c r="H2107" i="1"/>
  <c r="G2107" i="1"/>
  <c r="F2107" i="1"/>
  <c r="E2107" i="1"/>
  <c r="C2107" i="1"/>
  <c r="B2107" i="1"/>
  <c r="A2107" i="1"/>
  <c r="J2106" i="1"/>
  <c r="I2106" i="1"/>
  <c r="H2106" i="1"/>
  <c r="G2106" i="1"/>
  <c r="F2106" i="1"/>
  <c r="E2106" i="1"/>
  <c r="C2106" i="1"/>
  <c r="B2106" i="1"/>
  <c r="A2106" i="1"/>
  <c r="J2105" i="1"/>
  <c r="I2105" i="1"/>
  <c r="H2105" i="1"/>
  <c r="G2105" i="1"/>
  <c r="F2105" i="1"/>
  <c r="E2105" i="1"/>
  <c r="D2105" i="1"/>
  <c r="C2105" i="1"/>
  <c r="B2105" i="1"/>
  <c r="A2105" i="1"/>
  <c r="J2104" i="1"/>
  <c r="I2104" i="1"/>
  <c r="H2104" i="1"/>
  <c r="G2104" i="1"/>
  <c r="F2104" i="1"/>
  <c r="E2104" i="1"/>
  <c r="D2104" i="1"/>
  <c r="C2104" i="1"/>
  <c r="B2104" i="1"/>
  <c r="A2104" i="1"/>
  <c r="J2103" i="1"/>
  <c r="I2103" i="1"/>
  <c r="H2103" i="1"/>
  <c r="G2103" i="1"/>
  <c r="F2103" i="1"/>
  <c r="E2103" i="1"/>
  <c r="D2103" i="1"/>
  <c r="C2103" i="1"/>
  <c r="B2103" i="1"/>
  <c r="A2103" i="1"/>
  <c r="J2102" i="1"/>
  <c r="I2102" i="1"/>
  <c r="H2102" i="1"/>
  <c r="G2102" i="1"/>
  <c r="F2102" i="1"/>
  <c r="E2102" i="1"/>
  <c r="D2102" i="1"/>
  <c r="C2102" i="1"/>
  <c r="B2102" i="1"/>
  <c r="A2102" i="1"/>
  <c r="J2101" i="1"/>
  <c r="I2101" i="1"/>
  <c r="H2101" i="1"/>
  <c r="G2101" i="1"/>
  <c r="F2101" i="1"/>
  <c r="E2101" i="1"/>
  <c r="D2101" i="1"/>
  <c r="C2101" i="1"/>
  <c r="B2101" i="1"/>
  <c r="A2101" i="1"/>
  <c r="J2100" i="1"/>
  <c r="I2100" i="1"/>
  <c r="H2100" i="1"/>
  <c r="G2100" i="1"/>
  <c r="F2100" i="1"/>
  <c r="E2100" i="1"/>
  <c r="D2100" i="1"/>
  <c r="C2100" i="1"/>
  <c r="B2100" i="1"/>
  <c r="A2100" i="1"/>
  <c r="J2099" i="1"/>
  <c r="I2099" i="1"/>
  <c r="H2099" i="1"/>
  <c r="G2099" i="1"/>
  <c r="F2099" i="1"/>
  <c r="E2099" i="1"/>
  <c r="D2099" i="1"/>
  <c r="C2099" i="1"/>
  <c r="B2099" i="1"/>
  <c r="A2099" i="1"/>
  <c r="J2098" i="1"/>
  <c r="I2098" i="1"/>
  <c r="H2098" i="1"/>
  <c r="G2098" i="1"/>
  <c r="F2098" i="1"/>
  <c r="E2098" i="1"/>
  <c r="D2098" i="1"/>
  <c r="C2098" i="1"/>
  <c r="B2098" i="1"/>
  <c r="A2098" i="1"/>
  <c r="J2097" i="1"/>
  <c r="I2097" i="1"/>
  <c r="H2097" i="1"/>
  <c r="G2097" i="1"/>
  <c r="F2097" i="1"/>
  <c r="E2097" i="1"/>
  <c r="D2097" i="1"/>
  <c r="C2097" i="1"/>
  <c r="B2097" i="1"/>
  <c r="A2097" i="1"/>
  <c r="J2096" i="1"/>
  <c r="I2096" i="1"/>
  <c r="H2096" i="1"/>
  <c r="G2096" i="1"/>
  <c r="F2096" i="1"/>
  <c r="E2096" i="1"/>
  <c r="D2096" i="1"/>
  <c r="C2096" i="1"/>
  <c r="B2096" i="1"/>
  <c r="A2096" i="1"/>
  <c r="J2095" i="1"/>
  <c r="I2095" i="1"/>
  <c r="H2095" i="1"/>
  <c r="G2095" i="1"/>
  <c r="F2095" i="1"/>
  <c r="E2095" i="1"/>
  <c r="D2095" i="1"/>
  <c r="C2095" i="1"/>
  <c r="B2095" i="1"/>
  <c r="A2095" i="1"/>
  <c r="J2094" i="1"/>
  <c r="I2094" i="1"/>
  <c r="H2094" i="1"/>
  <c r="G2094" i="1"/>
  <c r="F2094" i="1"/>
  <c r="E2094" i="1"/>
  <c r="D2094" i="1"/>
  <c r="C2094" i="1"/>
  <c r="B2094" i="1"/>
  <c r="A2094" i="1"/>
  <c r="J2093" i="1"/>
  <c r="I2093" i="1"/>
  <c r="H2093" i="1"/>
  <c r="G2093" i="1"/>
  <c r="F2093" i="1"/>
  <c r="E2093" i="1"/>
  <c r="D2093" i="1"/>
  <c r="C2093" i="1"/>
  <c r="B2093" i="1"/>
  <c r="A2093" i="1"/>
  <c r="J2092" i="1"/>
  <c r="I2092" i="1"/>
  <c r="H2092" i="1"/>
  <c r="G2092" i="1"/>
  <c r="F2092" i="1"/>
  <c r="E2092" i="1"/>
  <c r="D2092" i="1"/>
  <c r="C2092" i="1"/>
  <c r="B2092" i="1"/>
  <c r="A2092" i="1"/>
  <c r="J2091" i="1"/>
  <c r="I2091" i="1"/>
  <c r="H2091" i="1"/>
  <c r="G2091" i="1"/>
  <c r="F2091" i="1"/>
  <c r="E2091" i="1"/>
  <c r="D2091" i="1"/>
  <c r="C2091" i="1"/>
  <c r="B2091" i="1"/>
  <c r="A2091" i="1"/>
  <c r="J2090" i="1"/>
  <c r="I2090" i="1"/>
  <c r="H2090" i="1"/>
  <c r="G2090" i="1"/>
  <c r="F2090" i="1"/>
  <c r="E2090" i="1"/>
  <c r="D2090" i="1"/>
  <c r="C2090" i="1"/>
  <c r="B2090" i="1"/>
  <c r="A2090" i="1"/>
  <c r="J2089" i="1"/>
  <c r="I2089" i="1"/>
  <c r="H2089" i="1"/>
  <c r="G2089" i="1"/>
  <c r="F2089" i="1"/>
  <c r="E2089" i="1"/>
  <c r="D2089" i="1"/>
  <c r="C2089" i="1"/>
  <c r="B2089" i="1"/>
  <c r="A2089" i="1"/>
  <c r="J2088" i="1"/>
  <c r="I2088" i="1"/>
  <c r="H2088" i="1"/>
  <c r="G2088" i="1"/>
  <c r="F2088" i="1"/>
  <c r="E2088" i="1"/>
  <c r="D2088" i="1"/>
  <c r="C2088" i="1"/>
  <c r="B2088" i="1"/>
  <c r="A2088" i="1"/>
  <c r="J2087" i="1"/>
  <c r="I2087" i="1"/>
  <c r="H2087" i="1"/>
  <c r="G2087" i="1"/>
  <c r="F2087" i="1"/>
  <c r="E2087" i="1"/>
  <c r="D2087" i="1"/>
  <c r="C2087" i="1"/>
  <c r="B2087" i="1"/>
  <c r="A2087" i="1"/>
  <c r="J2086" i="1"/>
  <c r="I2086" i="1"/>
  <c r="H2086" i="1"/>
  <c r="G2086" i="1"/>
  <c r="F2086" i="1"/>
  <c r="E2086" i="1"/>
  <c r="D2086" i="1"/>
  <c r="C2086" i="1"/>
  <c r="B2086" i="1"/>
  <c r="A2086" i="1"/>
  <c r="J2085" i="1"/>
  <c r="I2085" i="1"/>
  <c r="H2085" i="1"/>
  <c r="G2085" i="1"/>
  <c r="F2085" i="1"/>
  <c r="E2085" i="1"/>
  <c r="D2085" i="1"/>
  <c r="C2085" i="1"/>
  <c r="B2085" i="1"/>
  <c r="A2085" i="1"/>
  <c r="J2084" i="1"/>
  <c r="I2084" i="1"/>
  <c r="H2084" i="1"/>
  <c r="G2084" i="1"/>
  <c r="F2084" i="1"/>
  <c r="E2084" i="1"/>
  <c r="D2084" i="1"/>
  <c r="C2084" i="1"/>
  <c r="B2084" i="1"/>
  <c r="A2084" i="1"/>
  <c r="J2083" i="1"/>
  <c r="I2083" i="1"/>
  <c r="H2083" i="1"/>
  <c r="G2083" i="1"/>
  <c r="F2083" i="1"/>
  <c r="E2083" i="1"/>
  <c r="D2083" i="1"/>
  <c r="C2083" i="1"/>
  <c r="B2083" i="1"/>
  <c r="A2083" i="1"/>
  <c r="J2082" i="1"/>
  <c r="I2082" i="1"/>
  <c r="H2082" i="1"/>
  <c r="G2082" i="1"/>
  <c r="F2082" i="1"/>
  <c r="E2082" i="1"/>
  <c r="D2082" i="1"/>
  <c r="C2082" i="1"/>
  <c r="B2082" i="1"/>
  <c r="A2082" i="1"/>
  <c r="J2081" i="1"/>
  <c r="I2081" i="1"/>
  <c r="H2081" i="1"/>
  <c r="G2081" i="1"/>
  <c r="F2081" i="1"/>
  <c r="E2081" i="1"/>
  <c r="D2081" i="1"/>
  <c r="C2081" i="1"/>
  <c r="B2081" i="1"/>
  <c r="A2081" i="1"/>
  <c r="J2080" i="1"/>
  <c r="I2080" i="1"/>
  <c r="H2080" i="1"/>
  <c r="G2080" i="1"/>
  <c r="F2080" i="1"/>
  <c r="E2080" i="1"/>
  <c r="D2080" i="1"/>
  <c r="C2080" i="1"/>
  <c r="B2080" i="1"/>
  <c r="A2080" i="1"/>
  <c r="J2079" i="1"/>
  <c r="I2079" i="1"/>
  <c r="H2079" i="1"/>
  <c r="G2079" i="1"/>
  <c r="F2079" i="1"/>
  <c r="E2079" i="1"/>
  <c r="D2079" i="1"/>
  <c r="C2079" i="1"/>
  <c r="B2079" i="1"/>
  <c r="A2079" i="1"/>
  <c r="J2078" i="1"/>
  <c r="I2078" i="1"/>
  <c r="H2078" i="1"/>
  <c r="G2078" i="1"/>
  <c r="F2078" i="1"/>
  <c r="E2078" i="1"/>
  <c r="D2078" i="1"/>
  <c r="C2078" i="1"/>
  <c r="B2078" i="1"/>
  <c r="A2078" i="1"/>
  <c r="J2077" i="1"/>
  <c r="I2077" i="1"/>
  <c r="H2077" i="1"/>
  <c r="G2077" i="1"/>
  <c r="F2077" i="1"/>
  <c r="E2077" i="1"/>
  <c r="D2077" i="1"/>
  <c r="C2077" i="1"/>
  <c r="B2077" i="1"/>
  <c r="A2077" i="1"/>
  <c r="J2076" i="1"/>
  <c r="I2076" i="1"/>
  <c r="H2076" i="1"/>
  <c r="G2076" i="1"/>
  <c r="F2076" i="1"/>
  <c r="E2076" i="1"/>
  <c r="D2076" i="1"/>
  <c r="C2076" i="1"/>
  <c r="B2076" i="1"/>
  <c r="A2076" i="1"/>
  <c r="J2075" i="1"/>
  <c r="I2075" i="1"/>
  <c r="H2075" i="1"/>
  <c r="G2075" i="1"/>
  <c r="F2075" i="1"/>
  <c r="E2075" i="1"/>
  <c r="D2075" i="1"/>
  <c r="C2075" i="1"/>
  <c r="B2075" i="1"/>
  <c r="A2075" i="1"/>
  <c r="J2074" i="1"/>
  <c r="I2074" i="1"/>
  <c r="H2074" i="1"/>
  <c r="G2074" i="1"/>
  <c r="F2074" i="1"/>
  <c r="E2074" i="1"/>
  <c r="D2074" i="1"/>
  <c r="C2074" i="1"/>
  <c r="B2074" i="1"/>
  <c r="A2074" i="1"/>
  <c r="J2073" i="1"/>
  <c r="I2073" i="1"/>
  <c r="H2073" i="1"/>
  <c r="G2073" i="1"/>
  <c r="F2073" i="1"/>
  <c r="E2073" i="1"/>
  <c r="D2073" i="1"/>
  <c r="C2073" i="1"/>
  <c r="B2073" i="1"/>
  <c r="A2073" i="1"/>
  <c r="J2072" i="1"/>
  <c r="I2072" i="1"/>
  <c r="H2072" i="1"/>
  <c r="G2072" i="1"/>
  <c r="F2072" i="1"/>
  <c r="E2072" i="1"/>
  <c r="D2072" i="1"/>
  <c r="C2072" i="1"/>
  <c r="B2072" i="1"/>
  <c r="A2072" i="1"/>
  <c r="J2071" i="1"/>
  <c r="I2071" i="1"/>
  <c r="H2071" i="1"/>
  <c r="G2071" i="1"/>
  <c r="F2071" i="1"/>
  <c r="E2071" i="1"/>
  <c r="D2071" i="1"/>
  <c r="C2071" i="1"/>
  <c r="B2071" i="1"/>
  <c r="A2071" i="1"/>
  <c r="J2070" i="1"/>
  <c r="I2070" i="1"/>
  <c r="H2070" i="1"/>
  <c r="G2070" i="1"/>
  <c r="F2070" i="1"/>
  <c r="E2070" i="1"/>
  <c r="D2070" i="1"/>
  <c r="C2070" i="1"/>
  <c r="B2070" i="1"/>
  <c r="A2070" i="1"/>
  <c r="J2069" i="1"/>
  <c r="I2069" i="1"/>
  <c r="H2069" i="1"/>
  <c r="G2069" i="1"/>
  <c r="F2069" i="1"/>
  <c r="E2069" i="1"/>
  <c r="D2069" i="1"/>
  <c r="C2069" i="1"/>
  <c r="B2069" i="1"/>
  <c r="A2069" i="1"/>
  <c r="J2068" i="1"/>
  <c r="I2068" i="1"/>
  <c r="H2068" i="1"/>
  <c r="G2068" i="1"/>
  <c r="F2068" i="1"/>
  <c r="E2068" i="1"/>
  <c r="D2068" i="1"/>
  <c r="C2068" i="1"/>
  <c r="B2068" i="1"/>
  <c r="A2068" i="1"/>
  <c r="J2067" i="1"/>
  <c r="I2067" i="1"/>
  <c r="H2067" i="1"/>
  <c r="G2067" i="1"/>
  <c r="F2067" i="1"/>
  <c r="E2067" i="1"/>
  <c r="D2067" i="1"/>
  <c r="C2067" i="1"/>
  <c r="B2067" i="1"/>
  <c r="A2067" i="1"/>
  <c r="J2066" i="1"/>
  <c r="I2066" i="1"/>
  <c r="H2066" i="1"/>
  <c r="G2066" i="1"/>
  <c r="F2066" i="1"/>
  <c r="E2066" i="1"/>
  <c r="C2066" i="1"/>
  <c r="B2066" i="1"/>
  <c r="A2066" i="1"/>
  <c r="J2065" i="1"/>
  <c r="I2065" i="1"/>
  <c r="H2065" i="1"/>
  <c r="G2065" i="1"/>
  <c r="F2065" i="1"/>
  <c r="E2065" i="1"/>
  <c r="D2065" i="1"/>
  <c r="C2065" i="1"/>
  <c r="B2065" i="1"/>
  <c r="A2065" i="1"/>
  <c r="J2064" i="1"/>
  <c r="I2064" i="1"/>
  <c r="H2064" i="1"/>
  <c r="G2064" i="1"/>
  <c r="F2064" i="1"/>
  <c r="E2064" i="1"/>
  <c r="D2064" i="1"/>
  <c r="C2064" i="1"/>
  <c r="B2064" i="1"/>
  <c r="A2064" i="1"/>
  <c r="J2063" i="1"/>
  <c r="I2063" i="1"/>
  <c r="H2063" i="1"/>
  <c r="G2063" i="1"/>
  <c r="F2063" i="1"/>
  <c r="E2063" i="1"/>
  <c r="D2063" i="1"/>
  <c r="C2063" i="1"/>
  <c r="B2063" i="1"/>
  <c r="A2063" i="1"/>
  <c r="J2062" i="1"/>
  <c r="I2062" i="1"/>
  <c r="H2062" i="1"/>
  <c r="G2062" i="1"/>
  <c r="F2062" i="1"/>
  <c r="E2062" i="1"/>
  <c r="D2062" i="1"/>
  <c r="C2062" i="1"/>
  <c r="B2062" i="1"/>
  <c r="A2062" i="1"/>
  <c r="J2061" i="1"/>
  <c r="I2061" i="1"/>
  <c r="H2061" i="1"/>
  <c r="G2061" i="1"/>
  <c r="F2061" i="1"/>
  <c r="E2061" i="1"/>
  <c r="D2061" i="1"/>
  <c r="C2061" i="1"/>
  <c r="B2061" i="1"/>
  <c r="A2061" i="1"/>
  <c r="J2060" i="1"/>
  <c r="I2060" i="1"/>
  <c r="H2060" i="1"/>
  <c r="G2060" i="1"/>
  <c r="F2060" i="1"/>
  <c r="E2060" i="1"/>
  <c r="D2060" i="1"/>
  <c r="C2060" i="1"/>
  <c r="B2060" i="1"/>
  <c r="A2060" i="1"/>
  <c r="J2059" i="1"/>
  <c r="I2059" i="1"/>
  <c r="H2059" i="1"/>
  <c r="G2059" i="1"/>
  <c r="F2059" i="1"/>
  <c r="E2059" i="1"/>
  <c r="D2059" i="1"/>
  <c r="C2059" i="1"/>
  <c r="B2059" i="1"/>
  <c r="A2059" i="1"/>
  <c r="J2058" i="1"/>
  <c r="I2058" i="1"/>
  <c r="H2058" i="1"/>
  <c r="G2058" i="1"/>
  <c r="F2058" i="1"/>
  <c r="E2058" i="1"/>
  <c r="D2058" i="1"/>
  <c r="C2058" i="1"/>
  <c r="B2058" i="1"/>
  <c r="A2058" i="1"/>
  <c r="J2057" i="1"/>
  <c r="I2057" i="1"/>
  <c r="H2057" i="1"/>
  <c r="G2057" i="1"/>
  <c r="F2057" i="1"/>
  <c r="E2057" i="1"/>
  <c r="D2057" i="1"/>
  <c r="C2057" i="1"/>
  <c r="B2057" i="1"/>
  <c r="A2057" i="1"/>
  <c r="J2056" i="1"/>
  <c r="I2056" i="1"/>
  <c r="H2056" i="1"/>
  <c r="G2056" i="1"/>
  <c r="F2056" i="1"/>
  <c r="E2056" i="1"/>
  <c r="D2056" i="1"/>
  <c r="C2056" i="1"/>
  <c r="B2056" i="1"/>
  <c r="A2056" i="1"/>
  <c r="J2055" i="1"/>
  <c r="I2055" i="1"/>
  <c r="H2055" i="1"/>
  <c r="G2055" i="1"/>
  <c r="F2055" i="1"/>
  <c r="E2055" i="1"/>
  <c r="D2055" i="1"/>
  <c r="C2055" i="1"/>
  <c r="B2055" i="1"/>
  <c r="A2055" i="1"/>
  <c r="J2054" i="1"/>
  <c r="I2054" i="1"/>
  <c r="H2054" i="1"/>
  <c r="G2054" i="1"/>
  <c r="F2054" i="1"/>
  <c r="E2054" i="1"/>
  <c r="D2054" i="1"/>
  <c r="C2054" i="1"/>
  <c r="B2054" i="1"/>
  <c r="A2054" i="1"/>
  <c r="J2053" i="1"/>
  <c r="I2053" i="1"/>
  <c r="H2053" i="1"/>
  <c r="G2053" i="1"/>
  <c r="F2053" i="1"/>
  <c r="E2053" i="1"/>
  <c r="D2053" i="1"/>
  <c r="C2053" i="1"/>
  <c r="B2053" i="1"/>
  <c r="A2053" i="1"/>
  <c r="J2052" i="1"/>
  <c r="I2052" i="1"/>
  <c r="H2052" i="1"/>
  <c r="G2052" i="1"/>
  <c r="F2052" i="1"/>
  <c r="E2052" i="1"/>
  <c r="D2052" i="1"/>
  <c r="C2052" i="1"/>
  <c r="B2052" i="1"/>
  <c r="A2052" i="1"/>
  <c r="J2051" i="1"/>
  <c r="I2051" i="1"/>
  <c r="H2051" i="1"/>
  <c r="G2051" i="1"/>
  <c r="F2051" i="1"/>
  <c r="E2051" i="1"/>
  <c r="D2051" i="1"/>
  <c r="C2051" i="1"/>
  <c r="B2051" i="1"/>
  <c r="A2051" i="1"/>
  <c r="J2050" i="1"/>
  <c r="I2050" i="1"/>
  <c r="H2050" i="1"/>
  <c r="G2050" i="1"/>
  <c r="F2050" i="1"/>
  <c r="E2050" i="1"/>
  <c r="D2050" i="1"/>
  <c r="C2050" i="1"/>
  <c r="B2050" i="1"/>
  <c r="A2050" i="1"/>
  <c r="J2049" i="1"/>
  <c r="I2049" i="1"/>
  <c r="H2049" i="1"/>
  <c r="G2049" i="1"/>
  <c r="F2049" i="1"/>
  <c r="E2049" i="1"/>
  <c r="D2049" i="1"/>
  <c r="C2049" i="1"/>
  <c r="B2049" i="1"/>
  <c r="A2049" i="1"/>
  <c r="J2048" i="1"/>
  <c r="I2048" i="1"/>
  <c r="H2048" i="1"/>
  <c r="G2048" i="1"/>
  <c r="F2048" i="1"/>
  <c r="E2048" i="1"/>
  <c r="D2048" i="1"/>
  <c r="C2048" i="1"/>
  <c r="B2048" i="1"/>
  <c r="A2048" i="1"/>
  <c r="J2047" i="1"/>
  <c r="I2047" i="1"/>
  <c r="H2047" i="1"/>
  <c r="G2047" i="1"/>
  <c r="F2047" i="1"/>
  <c r="E2047" i="1"/>
  <c r="D2047" i="1"/>
  <c r="C2047" i="1"/>
  <c r="B2047" i="1"/>
  <c r="A2047" i="1"/>
  <c r="J2046" i="1"/>
  <c r="I2046" i="1"/>
  <c r="H2046" i="1"/>
  <c r="G2046" i="1"/>
  <c r="F2046" i="1"/>
  <c r="E2046" i="1"/>
  <c r="D2046" i="1"/>
  <c r="C2046" i="1"/>
  <c r="B2046" i="1"/>
  <c r="A2046" i="1"/>
  <c r="J2045" i="1"/>
  <c r="I2045" i="1"/>
  <c r="H2045" i="1"/>
  <c r="G2045" i="1"/>
  <c r="F2045" i="1"/>
  <c r="E2045" i="1"/>
  <c r="D2045" i="1"/>
  <c r="C2045" i="1"/>
  <c r="B2045" i="1"/>
  <c r="A2045" i="1"/>
  <c r="J2044" i="1"/>
  <c r="I2044" i="1"/>
  <c r="H2044" i="1"/>
  <c r="G2044" i="1"/>
  <c r="F2044" i="1"/>
  <c r="E2044" i="1"/>
  <c r="D2044" i="1"/>
  <c r="C2044" i="1"/>
  <c r="B2044" i="1"/>
  <c r="A2044" i="1"/>
  <c r="J2043" i="1"/>
  <c r="I2043" i="1"/>
  <c r="H2043" i="1"/>
  <c r="G2043" i="1"/>
  <c r="F2043" i="1"/>
  <c r="E2043" i="1"/>
  <c r="D2043" i="1"/>
  <c r="C2043" i="1"/>
  <c r="B2043" i="1"/>
  <c r="A2043" i="1"/>
  <c r="J2042" i="1"/>
  <c r="I2042" i="1"/>
  <c r="H2042" i="1"/>
  <c r="G2042" i="1"/>
  <c r="F2042" i="1"/>
  <c r="E2042" i="1"/>
  <c r="D2042" i="1"/>
  <c r="C2042" i="1"/>
  <c r="B2042" i="1"/>
  <c r="A2042" i="1"/>
  <c r="J2041" i="1"/>
  <c r="I2041" i="1"/>
  <c r="H2041" i="1"/>
  <c r="G2041" i="1"/>
  <c r="F2041" i="1"/>
  <c r="E2041" i="1"/>
  <c r="C2041" i="1"/>
  <c r="B2041" i="1"/>
  <c r="A2041" i="1"/>
  <c r="J2040" i="1"/>
  <c r="I2040" i="1"/>
  <c r="H2040" i="1"/>
  <c r="G2040" i="1"/>
  <c r="F2040" i="1"/>
  <c r="E2040" i="1"/>
  <c r="D2040" i="1"/>
  <c r="C2040" i="1"/>
  <c r="B2040" i="1"/>
  <c r="A2040" i="1"/>
  <c r="J2039" i="1"/>
  <c r="I2039" i="1"/>
  <c r="H2039" i="1"/>
  <c r="G2039" i="1"/>
  <c r="F2039" i="1"/>
  <c r="E2039" i="1"/>
  <c r="D2039" i="1"/>
  <c r="C2039" i="1"/>
  <c r="B2039" i="1"/>
  <c r="A2039" i="1"/>
  <c r="J2038" i="1"/>
  <c r="I2038" i="1"/>
  <c r="H2038" i="1"/>
  <c r="G2038" i="1"/>
  <c r="F2038" i="1"/>
  <c r="E2038" i="1"/>
  <c r="D2038" i="1"/>
  <c r="C2038" i="1"/>
  <c r="B2038" i="1"/>
  <c r="A2038" i="1"/>
  <c r="J2037" i="1"/>
  <c r="I2037" i="1"/>
  <c r="H2037" i="1"/>
  <c r="G2037" i="1"/>
  <c r="F2037" i="1"/>
  <c r="E2037" i="1"/>
  <c r="D2037" i="1"/>
  <c r="C2037" i="1"/>
  <c r="B2037" i="1"/>
  <c r="A2037" i="1"/>
  <c r="J2036" i="1"/>
  <c r="I2036" i="1"/>
  <c r="H2036" i="1"/>
  <c r="G2036" i="1"/>
  <c r="F2036" i="1"/>
  <c r="E2036" i="1"/>
  <c r="D2036" i="1"/>
  <c r="C2036" i="1"/>
  <c r="B2036" i="1"/>
  <c r="A2036" i="1"/>
  <c r="J2035" i="1"/>
  <c r="I2035" i="1"/>
  <c r="H2035" i="1"/>
  <c r="G2035" i="1"/>
  <c r="F2035" i="1"/>
  <c r="E2035" i="1"/>
  <c r="D2035" i="1"/>
  <c r="C2035" i="1"/>
  <c r="B2035" i="1"/>
  <c r="A2035" i="1"/>
  <c r="J2034" i="1"/>
  <c r="I2034" i="1"/>
  <c r="H2034" i="1"/>
  <c r="G2034" i="1"/>
  <c r="F2034" i="1"/>
  <c r="E2034" i="1"/>
  <c r="D2034" i="1"/>
  <c r="C2034" i="1"/>
  <c r="B2034" i="1"/>
  <c r="A2034" i="1"/>
  <c r="J2033" i="1"/>
  <c r="I2033" i="1"/>
  <c r="H2033" i="1"/>
  <c r="G2033" i="1"/>
  <c r="F2033" i="1"/>
  <c r="E2033" i="1"/>
  <c r="D2033" i="1"/>
  <c r="C2033" i="1"/>
  <c r="B2033" i="1"/>
  <c r="A2033" i="1"/>
  <c r="J2032" i="1"/>
  <c r="I2032" i="1"/>
  <c r="H2032" i="1"/>
  <c r="G2032" i="1"/>
  <c r="F2032" i="1"/>
  <c r="E2032" i="1"/>
  <c r="D2032" i="1"/>
  <c r="C2032" i="1"/>
  <c r="B2032" i="1"/>
  <c r="A2032" i="1"/>
  <c r="J2031" i="1"/>
  <c r="I2031" i="1"/>
  <c r="H2031" i="1"/>
  <c r="G2031" i="1"/>
  <c r="F2031" i="1"/>
  <c r="E2031" i="1"/>
  <c r="D2031" i="1"/>
  <c r="C2031" i="1"/>
  <c r="B2031" i="1"/>
  <c r="A2031" i="1"/>
  <c r="J2030" i="1"/>
  <c r="I2030" i="1"/>
  <c r="H2030" i="1"/>
  <c r="G2030" i="1"/>
  <c r="F2030" i="1"/>
  <c r="E2030" i="1"/>
  <c r="D2030" i="1"/>
  <c r="C2030" i="1"/>
  <c r="B2030" i="1"/>
  <c r="A2030" i="1"/>
  <c r="J2029" i="1"/>
  <c r="I2029" i="1"/>
  <c r="H2029" i="1"/>
  <c r="G2029" i="1"/>
  <c r="F2029" i="1"/>
  <c r="E2029" i="1"/>
  <c r="D2029" i="1"/>
  <c r="C2029" i="1"/>
  <c r="B2029" i="1"/>
  <c r="A2029" i="1"/>
  <c r="J2028" i="1"/>
  <c r="I2028" i="1"/>
  <c r="H2028" i="1"/>
  <c r="G2028" i="1"/>
  <c r="F2028" i="1"/>
  <c r="E2028" i="1"/>
  <c r="D2028" i="1"/>
  <c r="C2028" i="1"/>
  <c r="B2028" i="1"/>
  <c r="A2028" i="1"/>
  <c r="J2027" i="1"/>
  <c r="I2027" i="1"/>
  <c r="H2027" i="1"/>
  <c r="G2027" i="1"/>
  <c r="F2027" i="1"/>
  <c r="E2027" i="1"/>
  <c r="D2027" i="1"/>
  <c r="C2027" i="1"/>
  <c r="B2027" i="1"/>
  <c r="A2027" i="1"/>
  <c r="J2026" i="1"/>
  <c r="I2026" i="1"/>
  <c r="H2026" i="1"/>
  <c r="G2026" i="1"/>
  <c r="F2026" i="1"/>
  <c r="E2026" i="1"/>
  <c r="D2026" i="1"/>
  <c r="C2026" i="1"/>
  <c r="B2026" i="1"/>
  <c r="A2026" i="1"/>
  <c r="J2025" i="1"/>
  <c r="I2025" i="1"/>
  <c r="H2025" i="1"/>
  <c r="G2025" i="1"/>
  <c r="F2025" i="1"/>
  <c r="E2025" i="1"/>
  <c r="D2025" i="1"/>
  <c r="C2025" i="1"/>
  <c r="B2025" i="1"/>
  <c r="A2025" i="1"/>
  <c r="J2024" i="1"/>
  <c r="I2024" i="1"/>
  <c r="H2024" i="1"/>
  <c r="G2024" i="1"/>
  <c r="F2024" i="1"/>
  <c r="E2024" i="1"/>
  <c r="C2024" i="1"/>
  <c r="B2024" i="1"/>
  <c r="A2024" i="1"/>
  <c r="J2023" i="1"/>
  <c r="I2023" i="1"/>
  <c r="H2023" i="1"/>
  <c r="G2023" i="1"/>
  <c r="F2023" i="1"/>
  <c r="E2023" i="1"/>
  <c r="D2023" i="1"/>
  <c r="C2023" i="1"/>
  <c r="B2023" i="1"/>
  <c r="A2023" i="1"/>
  <c r="J2022" i="1"/>
  <c r="I2022" i="1"/>
  <c r="H2022" i="1"/>
  <c r="G2022" i="1"/>
  <c r="F2022" i="1"/>
  <c r="E2022" i="1"/>
  <c r="D2022" i="1"/>
  <c r="C2022" i="1"/>
  <c r="B2022" i="1"/>
  <c r="A2022" i="1"/>
  <c r="J2021" i="1"/>
  <c r="I2021" i="1"/>
  <c r="H2021" i="1"/>
  <c r="G2021" i="1"/>
  <c r="F2021" i="1"/>
  <c r="E2021" i="1"/>
  <c r="D2021" i="1"/>
  <c r="C2021" i="1"/>
  <c r="B2021" i="1"/>
  <c r="A2021" i="1"/>
  <c r="J2020" i="1"/>
  <c r="I2020" i="1"/>
  <c r="H2020" i="1"/>
  <c r="G2020" i="1"/>
  <c r="F2020" i="1"/>
  <c r="E2020" i="1"/>
  <c r="D2020" i="1"/>
  <c r="C2020" i="1"/>
  <c r="B2020" i="1"/>
  <c r="A2020" i="1"/>
  <c r="J2019" i="1"/>
  <c r="I2019" i="1"/>
  <c r="H2019" i="1"/>
  <c r="G2019" i="1"/>
  <c r="F2019" i="1"/>
  <c r="E2019" i="1"/>
  <c r="D2019" i="1"/>
  <c r="C2019" i="1"/>
  <c r="B2019" i="1"/>
  <c r="A2019" i="1"/>
  <c r="J2018" i="1"/>
  <c r="I2018" i="1"/>
  <c r="H2018" i="1"/>
  <c r="G2018" i="1"/>
  <c r="F2018" i="1"/>
  <c r="E2018" i="1"/>
  <c r="D2018" i="1"/>
  <c r="C2018" i="1"/>
  <c r="B2018" i="1"/>
  <c r="A2018" i="1"/>
  <c r="J2017" i="1"/>
  <c r="I2017" i="1"/>
  <c r="H2017" i="1"/>
  <c r="G2017" i="1"/>
  <c r="F2017" i="1"/>
  <c r="E2017" i="1"/>
  <c r="D2017" i="1"/>
  <c r="C2017" i="1"/>
  <c r="B2017" i="1"/>
  <c r="A2017" i="1"/>
  <c r="J2016" i="1"/>
  <c r="I2016" i="1"/>
  <c r="H2016" i="1"/>
  <c r="G2016" i="1"/>
  <c r="F2016" i="1"/>
  <c r="E2016" i="1"/>
  <c r="D2016" i="1"/>
  <c r="C2016" i="1"/>
  <c r="B2016" i="1"/>
  <c r="A2016" i="1"/>
  <c r="J2015" i="1"/>
  <c r="I2015" i="1"/>
  <c r="H2015" i="1"/>
  <c r="G2015" i="1"/>
  <c r="F2015" i="1"/>
  <c r="E2015" i="1"/>
  <c r="D2015" i="1"/>
  <c r="C2015" i="1"/>
  <c r="B2015" i="1"/>
  <c r="A2015" i="1"/>
  <c r="J2014" i="1"/>
  <c r="I2014" i="1"/>
  <c r="H2014" i="1"/>
  <c r="G2014" i="1"/>
  <c r="F2014" i="1"/>
  <c r="E2014" i="1"/>
  <c r="D2014" i="1"/>
  <c r="C2014" i="1"/>
  <c r="B2014" i="1"/>
  <c r="A2014" i="1"/>
  <c r="J2013" i="1"/>
  <c r="I2013" i="1"/>
  <c r="H2013" i="1"/>
  <c r="G2013" i="1"/>
  <c r="F2013" i="1"/>
  <c r="E2013" i="1"/>
  <c r="D2013" i="1"/>
  <c r="C2013" i="1"/>
  <c r="B2013" i="1"/>
  <c r="A2013" i="1"/>
  <c r="J2012" i="1"/>
  <c r="I2012" i="1"/>
  <c r="H2012" i="1"/>
  <c r="G2012" i="1"/>
  <c r="F2012" i="1"/>
  <c r="E2012" i="1"/>
  <c r="D2012" i="1"/>
  <c r="C2012" i="1"/>
  <c r="B2012" i="1"/>
  <c r="A2012" i="1"/>
  <c r="J2011" i="1"/>
  <c r="I2011" i="1"/>
  <c r="H2011" i="1"/>
  <c r="G2011" i="1"/>
  <c r="F2011" i="1"/>
  <c r="E2011" i="1"/>
  <c r="D2011" i="1"/>
  <c r="C2011" i="1"/>
  <c r="B2011" i="1"/>
  <c r="A2011" i="1"/>
  <c r="J2010" i="1"/>
  <c r="I2010" i="1"/>
  <c r="H2010" i="1"/>
  <c r="G2010" i="1"/>
  <c r="F2010" i="1"/>
  <c r="E2010" i="1"/>
  <c r="D2010" i="1"/>
  <c r="C2010" i="1"/>
  <c r="B2010" i="1"/>
  <c r="A2010" i="1"/>
  <c r="J2009" i="1"/>
  <c r="I2009" i="1"/>
  <c r="H2009" i="1"/>
  <c r="G2009" i="1"/>
  <c r="F2009" i="1"/>
  <c r="E2009" i="1"/>
  <c r="D2009" i="1"/>
  <c r="C2009" i="1"/>
  <c r="B2009" i="1"/>
  <c r="A2009" i="1"/>
  <c r="J2008" i="1"/>
  <c r="I2008" i="1"/>
  <c r="H2008" i="1"/>
  <c r="G2008" i="1"/>
  <c r="F2008" i="1"/>
  <c r="E2008" i="1"/>
  <c r="D2008" i="1"/>
  <c r="C2008" i="1"/>
  <c r="B2008" i="1"/>
  <c r="A2008" i="1"/>
  <c r="J2007" i="1"/>
  <c r="I2007" i="1"/>
  <c r="H2007" i="1"/>
  <c r="G2007" i="1"/>
  <c r="F2007" i="1"/>
  <c r="E2007" i="1"/>
  <c r="D2007" i="1"/>
  <c r="C2007" i="1"/>
  <c r="B2007" i="1"/>
  <c r="A2007" i="1"/>
  <c r="J2006" i="1"/>
  <c r="I2006" i="1"/>
  <c r="H2006" i="1"/>
  <c r="G2006" i="1"/>
  <c r="F2006" i="1"/>
  <c r="E2006" i="1"/>
  <c r="D2006" i="1"/>
  <c r="C2006" i="1"/>
  <c r="B2006" i="1"/>
  <c r="A2006" i="1"/>
  <c r="J2005" i="1"/>
  <c r="I2005" i="1"/>
  <c r="H2005" i="1"/>
  <c r="G2005" i="1"/>
  <c r="F2005" i="1"/>
  <c r="E2005" i="1"/>
  <c r="D2005" i="1"/>
  <c r="C2005" i="1"/>
  <c r="B2005" i="1"/>
  <c r="A2005" i="1"/>
  <c r="J2004" i="1"/>
  <c r="I2004" i="1"/>
  <c r="H2004" i="1"/>
  <c r="G2004" i="1"/>
  <c r="F2004" i="1"/>
  <c r="E2004" i="1"/>
  <c r="D2004" i="1"/>
  <c r="C2004" i="1"/>
  <c r="B2004" i="1"/>
  <c r="A2004" i="1"/>
  <c r="J2003" i="1"/>
  <c r="I2003" i="1"/>
  <c r="H2003" i="1"/>
  <c r="G2003" i="1"/>
  <c r="F2003" i="1"/>
  <c r="E2003" i="1"/>
  <c r="D2003" i="1"/>
  <c r="C2003" i="1"/>
  <c r="B2003" i="1"/>
  <c r="A2003" i="1"/>
  <c r="J2002" i="1"/>
  <c r="I2002" i="1"/>
  <c r="H2002" i="1"/>
  <c r="G2002" i="1"/>
  <c r="F2002" i="1"/>
  <c r="E2002" i="1"/>
  <c r="D2002" i="1"/>
  <c r="C2002" i="1"/>
  <c r="B2002" i="1"/>
  <c r="A2002" i="1"/>
  <c r="J2001" i="1"/>
  <c r="I2001" i="1"/>
  <c r="H2001" i="1"/>
  <c r="G2001" i="1"/>
  <c r="F2001" i="1"/>
  <c r="E2001" i="1"/>
  <c r="D2001" i="1"/>
  <c r="C2001" i="1"/>
  <c r="B2001" i="1"/>
  <c r="A2001" i="1"/>
  <c r="J2000" i="1"/>
  <c r="I2000" i="1"/>
  <c r="H2000" i="1"/>
  <c r="G2000" i="1"/>
  <c r="F2000" i="1"/>
  <c r="E2000" i="1"/>
  <c r="D2000" i="1"/>
  <c r="C2000" i="1"/>
  <c r="B2000" i="1"/>
  <c r="A2000" i="1"/>
  <c r="J1999" i="1"/>
  <c r="I1999" i="1"/>
  <c r="H1999" i="1"/>
  <c r="G1999" i="1"/>
  <c r="F1999" i="1"/>
  <c r="E1999" i="1"/>
  <c r="D1999" i="1"/>
  <c r="C1999" i="1"/>
  <c r="B1999" i="1"/>
  <c r="A1999" i="1"/>
  <c r="J1998" i="1"/>
  <c r="I1998" i="1"/>
  <c r="H1998" i="1"/>
  <c r="G1998" i="1"/>
  <c r="F1998" i="1"/>
  <c r="E1998" i="1"/>
  <c r="D1998" i="1"/>
  <c r="C1998" i="1"/>
  <c r="B1998" i="1"/>
  <c r="A1998" i="1"/>
  <c r="J1997" i="1"/>
  <c r="I1997" i="1"/>
  <c r="H1997" i="1"/>
  <c r="G1997" i="1"/>
  <c r="F1997" i="1"/>
  <c r="E1997" i="1"/>
  <c r="D1997" i="1"/>
  <c r="C1997" i="1"/>
  <c r="B1997" i="1"/>
  <c r="A1997" i="1"/>
  <c r="J1996" i="1"/>
  <c r="I1996" i="1"/>
  <c r="H1996" i="1"/>
  <c r="G1996" i="1"/>
  <c r="F1996" i="1"/>
  <c r="E1996" i="1"/>
  <c r="D1996" i="1"/>
  <c r="C1996" i="1"/>
  <c r="B1996" i="1"/>
  <c r="A1996" i="1"/>
  <c r="J1995" i="1"/>
  <c r="I1995" i="1"/>
  <c r="H1995" i="1"/>
  <c r="G1995" i="1"/>
  <c r="F1995" i="1"/>
  <c r="E1995" i="1"/>
  <c r="D1995" i="1"/>
  <c r="C1995" i="1"/>
  <c r="B1995" i="1"/>
  <c r="A1995" i="1"/>
  <c r="J1994" i="1"/>
  <c r="I1994" i="1"/>
  <c r="H1994" i="1"/>
  <c r="G1994" i="1"/>
  <c r="F1994" i="1"/>
  <c r="E1994" i="1"/>
  <c r="D1994" i="1"/>
  <c r="C1994" i="1"/>
  <c r="B1994" i="1"/>
  <c r="A1994" i="1"/>
  <c r="J1993" i="1"/>
  <c r="I1993" i="1"/>
  <c r="H1993" i="1"/>
  <c r="G1993" i="1"/>
  <c r="F1993" i="1"/>
  <c r="E1993" i="1"/>
  <c r="D1993" i="1"/>
  <c r="C1993" i="1"/>
  <c r="B1993" i="1"/>
  <c r="A1993" i="1"/>
  <c r="J1992" i="1"/>
  <c r="I1992" i="1"/>
  <c r="H1992" i="1"/>
  <c r="G1992" i="1"/>
  <c r="F1992" i="1"/>
  <c r="E1992" i="1"/>
  <c r="D1992" i="1"/>
  <c r="C1992" i="1"/>
  <c r="B1992" i="1"/>
  <c r="A1992" i="1"/>
  <c r="J1991" i="1"/>
  <c r="I1991" i="1"/>
  <c r="H1991" i="1"/>
  <c r="G1991" i="1"/>
  <c r="F1991" i="1"/>
  <c r="E1991" i="1"/>
  <c r="D1991" i="1"/>
  <c r="C1991" i="1"/>
  <c r="B1991" i="1"/>
  <c r="A1991" i="1"/>
  <c r="J1990" i="1"/>
  <c r="I1990" i="1"/>
  <c r="H1990" i="1"/>
  <c r="G1990" i="1"/>
  <c r="F1990" i="1"/>
  <c r="E1990" i="1"/>
  <c r="D1990" i="1"/>
  <c r="C1990" i="1"/>
  <c r="B1990" i="1"/>
  <c r="A1990" i="1"/>
  <c r="J1989" i="1"/>
  <c r="I1989" i="1"/>
  <c r="H1989" i="1"/>
  <c r="G1989" i="1"/>
  <c r="F1989" i="1"/>
  <c r="E1989" i="1"/>
  <c r="D1989" i="1"/>
  <c r="C1989" i="1"/>
  <c r="B1989" i="1"/>
  <c r="A1989" i="1"/>
  <c r="J1988" i="1"/>
  <c r="I1988" i="1"/>
  <c r="H1988" i="1"/>
  <c r="G1988" i="1"/>
  <c r="F1988" i="1"/>
  <c r="E1988" i="1"/>
  <c r="D1988" i="1"/>
  <c r="C1988" i="1"/>
  <c r="B1988" i="1"/>
  <c r="A1988" i="1"/>
  <c r="J1987" i="1"/>
  <c r="I1987" i="1"/>
  <c r="H1987" i="1"/>
  <c r="G1987" i="1"/>
  <c r="F1987" i="1"/>
  <c r="E1987" i="1"/>
  <c r="D1987" i="1"/>
  <c r="C1987" i="1"/>
  <c r="B1987" i="1"/>
  <c r="A1987" i="1"/>
  <c r="J1986" i="1"/>
  <c r="I1986" i="1"/>
  <c r="H1986" i="1"/>
  <c r="G1986" i="1"/>
  <c r="F1986" i="1"/>
  <c r="E1986" i="1"/>
  <c r="D1986" i="1"/>
  <c r="C1986" i="1"/>
  <c r="B1986" i="1"/>
  <c r="A1986" i="1"/>
  <c r="J1985" i="1"/>
  <c r="I1985" i="1"/>
  <c r="H1985" i="1"/>
  <c r="G1985" i="1"/>
  <c r="F1985" i="1"/>
  <c r="E1985" i="1"/>
  <c r="D1985" i="1"/>
  <c r="C1985" i="1"/>
  <c r="B1985" i="1"/>
  <c r="A1985" i="1"/>
  <c r="J1984" i="1"/>
  <c r="I1984" i="1"/>
  <c r="H1984" i="1"/>
  <c r="G1984" i="1"/>
  <c r="F1984" i="1"/>
  <c r="E1984" i="1"/>
  <c r="C1984" i="1"/>
  <c r="B1984" i="1"/>
  <c r="A1984" i="1"/>
  <c r="J1983" i="1"/>
  <c r="I1983" i="1"/>
  <c r="H1983" i="1"/>
  <c r="G1983" i="1"/>
  <c r="F1983" i="1"/>
  <c r="E1983" i="1"/>
  <c r="D1983" i="1"/>
  <c r="C1983" i="1"/>
  <c r="B1983" i="1"/>
  <c r="A1983" i="1"/>
  <c r="J1982" i="1"/>
  <c r="I1982" i="1"/>
  <c r="H1982" i="1"/>
  <c r="G1982" i="1"/>
  <c r="F1982" i="1"/>
  <c r="E1982" i="1"/>
  <c r="D1982" i="1"/>
  <c r="C1982" i="1"/>
  <c r="B1982" i="1"/>
  <c r="A1982" i="1"/>
  <c r="J1981" i="1"/>
  <c r="I1981" i="1"/>
  <c r="H1981" i="1"/>
  <c r="G1981" i="1"/>
  <c r="F1981" i="1"/>
  <c r="E1981" i="1"/>
  <c r="D1981" i="1"/>
  <c r="C1981" i="1"/>
  <c r="B1981" i="1"/>
  <c r="A1981" i="1"/>
  <c r="J1980" i="1"/>
  <c r="I1980" i="1"/>
  <c r="H1980" i="1"/>
  <c r="G1980" i="1"/>
  <c r="F1980" i="1"/>
  <c r="E1980" i="1"/>
  <c r="D1980" i="1"/>
  <c r="C1980" i="1"/>
  <c r="B1980" i="1"/>
  <c r="A1980" i="1"/>
  <c r="J1979" i="1"/>
  <c r="I1979" i="1"/>
  <c r="H1979" i="1"/>
  <c r="G1979" i="1"/>
  <c r="F1979" i="1"/>
  <c r="E1979" i="1"/>
  <c r="D1979" i="1"/>
  <c r="C1979" i="1"/>
  <c r="B1979" i="1"/>
  <c r="A1979" i="1"/>
  <c r="J1978" i="1"/>
  <c r="I1978" i="1"/>
  <c r="H1978" i="1"/>
  <c r="G1978" i="1"/>
  <c r="F1978" i="1"/>
  <c r="E1978" i="1"/>
  <c r="D1978" i="1"/>
  <c r="C1978" i="1"/>
  <c r="B1978" i="1"/>
  <c r="A1978" i="1"/>
  <c r="J1977" i="1"/>
  <c r="I1977" i="1"/>
  <c r="H1977" i="1"/>
  <c r="G1977" i="1"/>
  <c r="F1977" i="1"/>
  <c r="E1977" i="1"/>
  <c r="D1977" i="1"/>
  <c r="C1977" i="1"/>
  <c r="B1977" i="1"/>
  <c r="A1977" i="1"/>
  <c r="J1976" i="1"/>
  <c r="I1976" i="1"/>
  <c r="H1976" i="1"/>
  <c r="G1976" i="1"/>
  <c r="F1976" i="1"/>
  <c r="E1976" i="1"/>
  <c r="D1976" i="1"/>
  <c r="C1976" i="1"/>
  <c r="B1976" i="1"/>
  <c r="A1976" i="1"/>
  <c r="J1975" i="1"/>
  <c r="I1975" i="1"/>
  <c r="H1975" i="1"/>
  <c r="G1975" i="1"/>
  <c r="F1975" i="1"/>
  <c r="E1975" i="1"/>
  <c r="D1975" i="1"/>
  <c r="C1975" i="1"/>
  <c r="B1975" i="1"/>
  <c r="A1975" i="1"/>
  <c r="J1974" i="1"/>
  <c r="I1974" i="1"/>
  <c r="H1974" i="1"/>
  <c r="G1974" i="1"/>
  <c r="F1974" i="1"/>
  <c r="E1974" i="1"/>
  <c r="D1974" i="1"/>
  <c r="C1974" i="1"/>
  <c r="B1974" i="1"/>
  <c r="A1974" i="1"/>
  <c r="J1973" i="1"/>
  <c r="I1973" i="1"/>
  <c r="H1973" i="1"/>
  <c r="G1973" i="1"/>
  <c r="F1973" i="1"/>
  <c r="E1973" i="1"/>
  <c r="D1973" i="1"/>
  <c r="C1973" i="1"/>
  <c r="B1973" i="1"/>
  <c r="A1973" i="1"/>
  <c r="J1972" i="1"/>
  <c r="I1972" i="1"/>
  <c r="H1972" i="1"/>
  <c r="G1972" i="1"/>
  <c r="F1972" i="1"/>
  <c r="E1972" i="1"/>
  <c r="D1972" i="1"/>
  <c r="C1972" i="1"/>
  <c r="B1972" i="1"/>
  <c r="A1972" i="1"/>
  <c r="J1971" i="1"/>
  <c r="I1971" i="1"/>
  <c r="H1971" i="1"/>
  <c r="G1971" i="1"/>
  <c r="F1971" i="1"/>
  <c r="E1971" i="1"/>
  <c r="D1971" i="1"/>
  <c r="C1971" i="1"/>
  <c r="B1971" i="1"/>
  <c r="A1971" i="1"/>
  <c r="J1970" i="1"/>
  <c r="I1970" i="1"/>
  <c r="H1970" i="1"/>
  <c r="G1970" i="1"/>
  <c r="F1970" i="1"/>
  <c r="E1970" i="1"/>
  <c r="D1970" i="1"/>
  <c r="C1970" i="1"/>
  <c r="B1970" i="1"/>
  <c r="A1970" i="1"/>
  <c r="J1969" i="1"/>
  <c r="I1969" i="1"/>
  <c r="H1969" i="1"/>
  <c r="G1969" i="1"/>
  <c r="F1969" i="1"/>
  <c r="E1969" i="1"/>
  <c r="D1969" i="1"/>
  <c r="C1969" i="1"/>
  <c r="B1969" i="1"/>
  <c r="A1969" i="1"/>
  <c r="J1968" i="1"/>
  <c r="I1968" i="1"/>
  <c r="H1968" i="1"/>
  <c r="G1968" i="1"/>
  <c r="F1968" i="1"/>
  <c r="E1968" i="1"/>
  <c r="D1968" i="1"/>
  <c r="C1968" i="1"/>
  <c r="B1968" i="1"/>
  <c r="A1968" i="1"/>
  <c r="J1967" i="1"/>
  <c r="I1967" i="1"/>
  <c r="H1967" i="1"/>
  <c r="G1967" i="1"/>
  <c r="F1967" i="1"/>
  <c r="E1967" i="1"/>
  <c r="D1967" i="1"/>
  <c r="C1967" i="1"/>
  <c r="B1967" i="1"/>
  <c r="A1967" i="1"/>
  <c r="J1966" i="1"/>
  <c r="I1966" i="1"/>
  <c r="H1966" i="1"/>
  <c r="G1966" i="1"/>
  <c r="F1966" i="1"/>
  <c r="E1966" i="1"/>
  <c r="D1966" i="1"/>
  <c r="C1966" i="1"/>
  <c r="B1966" i="1"/>
  <c r="A1966" i="1"/>
  <c r="J1965" i="1"/>
  <c r="I1965" i="1"/>
  <c r="H1965" i="1"/>
  <c r="G1965" i="1"/>
  <c r="F1965" i="1"/>
  <c r="E1965" i="1"/>
  <c r="D1965" i="1"/>
  <c r="C1965" i="1"/>
  <c r="B1965" i="1"/>
  <c r="A1965" i="1"/>
  <c r="J1964" i="1"/>
  <c r="I1964" i="1"/>
  <c r="H1964" i="1"/>
  <c r="G1964" i="1"/>
  <c r="F1964" i="1"/>
  <c r="E1964" i="1"/>
  <c r="D1964" i="1"/>
  <c r="C1964" i="1"/>
  <c r="B1964" i="1"/>
  <c r="A1964" i="1"/>
  <c r="J1963" i="1"/>
  <c r="I1963" i="1"/>
  <c r="H1963" i="1"/>
  <c r="G1963" i="1"/>
  <c r="F1963" i="1"/>
  <c r="E1963" i="1"/>
  <c r="D1963" i="1"/>
  <c r="C1963" i="1"/>
  <c r="B1963" i="1"/>
  <c r="A1963" i="1"/>
  <c r="J1962" i="1"/>
  <c r="I1962" i="1"/>
  <c r="H1962" i="1"/>
  <c r="G1962" i="1"/>
  <c r="F1962" i="1"/>
  <c r="E1962" i="1"/>
  <c r="D1962" i="1"/>
  <c r="C1962" i="1"/>
  <c r="B1962" i="1"/>
  <c r="A1962" i="1"/>
  <c r="J1961" i="1"/>
  <c r="I1961" i="1"/>
  <c r="H1961" i="1"/>
  <c r="G1961" i="1"/>
  <c r="F1961" i="1"/>
  <c r="E1961" i="1"/>
  <c r="D1961" i="1"/>
  <c r="C1961" i="1"/>
  <c r="B1961" i="1"/>
  <c r="A1961" i="1"/>
  <c r="J1960" i="1"/>
  <c r="I1960" i="1"/>
  <c r="H1960" i="1"/>
  <c r="G1960" i="1"/>
  <c r="F1960" i="1"/>
  <c r="E1960" i="1"/>
  <c r="D1960" i="1"/>
  <c r="C1960" i="1"/>
  <c r="B1960" i="1"/>
  <c r="A1960" i="1"/>
  <c r="J1959" i="1"/>
  <c r="I1959" i="1"/>
  <c r="H1959" i="1"/>
  <c r="G1959" i="1"/>
  <c r="F1959" i="1"/>
  <c r="E1959" i="1"/>
  <c r="D1959" i="1"/>
  <c r="C1959" i="1"/>
  <c r="B1959" i="1"/>
  <c r="A1959" i="1"/>
  <c r="J1958" i="1"/>
  <c r="I1958" i="1"/>
  <c r="H1958" i="1"/>
  <c r="G1958" i="1"/>
  <c r="F1958" i="1"/>
  <c r="E1958" i="1"/>
  <c r="D1958" i="1"/>
  <c r="C1958" i="1"/>
  <c r="B1958" i="1"/>
  <c r="A1958" i="1"/>
  <c r="J1957" i="1"/>
  <c r="I1957" i="1"/>
  <c r="H1957" i="1"/>
  <c r="G1957" i="1"/>
  <c r="F1957" i="1"/>
  <c r="E1957" i="1"/>
  <c r="D1957" i="1"/>
  <c r="C1957" i="1"/>
  <c r="B1957" i="1"/>
  <c r="A1957" i="1"/>
  <c r="J1956" i="1"/>
  <c r="I1956" i="1"/>
  <c r="H1956" i="1"/>
  <c r="G1956" i="1"/>
  <c r="F1956" i="1"/>
  <c r="E1956" i="1"/>
  <c r="C1956" i="1"/>
  <c r="B1956" i="1"/>
  <c r="A1956" i="1"/>
  <c r="J1955" i="1"/>
  <c r="I1955" i="1"/>
  <c r="H1955" i="1"/>
  <c r="G1955" i="1"/>
  <c r="F1955" i="1"/>
  <c r="E1955" i="1"/>
  <c r="D1955" i="1"/>
  <c r="C1955" i="1"/>
  <c r="B1955" i="1"/>
  <c r="A1955" i="1"/>
  <c r="J1954" i="1"/>
  <c r="I1954" i="1"/>
  <c r="H1954" i="1"/>
  <c r="G1954" i="1"/>
  <c r="F1954" i="1"/>
  <c r="E1954" i="1"/>
  <c r="D1954" i="1"/>
  <c r="C1954" i="1"/>
  <c r="B1954" i="1"/>
  <c r="A1954" i="1"/>
  <c r="J1953" i="1"/>
  <c r="I1953" i="1"/>
  <c r="H1953" i="1"/>
  <c r="G1953" i="1"/>
  <c r="F1953" i="1"/>
  <c r="E1953" i="1"/>
  <c r="C1953" i="1"/>
  <c r="B1953" i="1"/>
  <c r="A1953" i="1"/>
  <c r="J1952" i="1"/>
  <c r="I1952" i="1"/>
  <c r="H1952" i="1"/>
  <c r="G1952" i="1"/>
  <c r="F1952" i="1"/>
  <c r="E1952" i="1"/>
  <c r="D1952" i="1"/>
  <c r="C1952" i="1"/>
  <c r="B1952" i="1"/>
  <c r="A1952" i="1"/>
  <c r="J1951" i="1"/>
  <c r="I1951" i="1"/>
  <c r="H1951" i="1"/>
  <c r="G1951" i="1"/>
  <c r="F1951" i="1"/>
  <c r="E1951" i="1"/>
  <c r="D1951" i="1"/>
  <c r="C1951" i="1"/>
  <c r="B1951" i="1"/>
  <c r="A1951" i="1"/>
  <c r="J1950" i="1"/>
  <c r="I1950" i="1"/>
  <c r="H1950" i="1"/>
  <c r="G1950" i="1"/>
  <c r="F1950" i="1"/>
  <c r="E1950" i="1"/>
  <c r="D1950" i="1"/>
  <c r="C1950" i="1"/>
  <c r="B1950" i="1"/>
  <c r="A1950" i="1"/>
  <c r="J1949" i="1"/>
  <c r="I1949" i="1"/>
  <c r="H1949" i="1"/>
  <c r="G1949" i="1"/>
  <c r="F1949" i="1"/>
  <c r="E1949" i="1"/>
  <c r="D1949" i="1"/>
  <c r="C1949" i="1"/>
  <c r="B1949" i="1"/>
  <c r="A1949" i="1"/>
  <c r="J1948" i="1"/>
  <c r="I1948" i="1"/>
  <c r="H1948" i="1"/>
  <c r="G1948" i="1"/>
  <c r="F1948" i="1"/>
  <c r="E1948" i="1"/>
  <c r="D1948" i="1"/>
  <c r="C1948" i="1"/>
  <c r="B1948" i="1"/>
  <c r="A1948" i="1"/>
  <c r="J1947" i="1"/>
  <c r="I1947" i="1"/>
  <c r="H1947" i="1"/>
  <c r="G1947" i="1"/>
  <c r="F1947" i="1"/>
  <c r="E1947" i="1"/>
  <c r="D1947" i="1"/>
  <c r="C1947" i="1"/>
  <c r="B1947" i="1"/>
  <c r="A1947" i="1"/>
  <c r="J1946" i="1"/>
  <c r="I1946" i="1"/>
  <c r="H1946" i="1"/>
  <c r="G1946" i="1"/>
  <c r="F1946" i="1"/>
  <c r="E1946" i="1"/>
  <c r="D1946" i="1"/>
  <c r="C1946" i="1"/>
  <c r="B1946" i="1"/>
  <c r="A1946" i="1"/>
  <c r="J1945" i="1"/>
  <c r="I1945" i="1"/>
  <c r="H1945" i="1"/>
  <c r="G1945" i="1"/>
  <c r="F1945" i="1"/>
  <c r="E1945" i="1"/>
  <c r="D1945" i="1"/>
  <c r="C1945" i="1"/>
  <c r="B1945" i="1"/>
  <c r="A1945" i="1"/>
  <c r="J1944" i="1"/>
  <c r="I1944" i="1"/>
  <c r="H1944" i="1"/>
  <c r="G1944" i="1"/>
  <c r="F1944" i="1"/>
  <c r="E1944" i="1"/>
  <c r="D1944" i="1"/>
  <c r="C1944" i="1"/>
  <c r="B1944" i="1"/>
  <c r="A1944" i="1"/>
  <c r="J1943" i="1"/>
  <c r="I1943" i="1"/>
  <c r="H1943" i="1"/>
  <c r="G1943" i="1"/>
  <c r="F1943" i="1"/>
  <c r="E1943" i="1"/>
  <c r="D1943" i="1"/>
  <c r="C1943" i="1"/>
  <c r="B1943" i="1"/>
  <c r="A1943" i="1"/>
  <c r="J1942" i="1"/>
  <c r="I1942" i="1"/>
  <c r="H1942" i="1"/>
  <c r="G1942" i="1"/>
  <c r="F1942" i="1"/>
  <c r="E1942" i="1"/>
  <c r="D1942" i="1"/>
  <c r="C1942" i="1"/>
  <c r="B1942" i="1"/>
  <c r="A1942" i="1"/>
  <c r="J1941" i="1"/>
  <c r="I1941" i="1"/>
  <c r="H1941" i="1"/>
  <c r="G1941" i="1"/>
  <c r="F1941" i="1"/>
  <c r="E1941" i="1"/>
  <c r="D1941" i="1"/>
  <c r="C1941" i="1"/>
  <c r="B1941" i="1"/>
  <c r="A1941" i="1"/>
  <c r="J1940" i="1"/>
  <c r="I1940" i="1"/>
  <c r="H1940" i="1"/>
  <c r="G1940" i="1"/>
  <c r="F1940" i="1"/>
  <c r="E1940" i="1"/>
  <c r="D1940" i="1"/>
  <c r="C1940" i="1"/>
  <c r="B1940" i="1"/>
  <c r="A1940" i="1"/>
  <c r="J1939" i="1"/>
  <c r="I1939" i="1"/>
  <c r="H1939" i="1"/>
  <c r="G1939" i="1"/>
  <c r="F1939" i="1"/>
  <c r="E1939" i="1"/>
  <c r="D1939" i="1"/>
  <c r="C1939" i="1"/>
  <c r="B1939" i="1"/>
  <c r="A1939" i="1"/>
  <c r="J1938" i="1"/>
  <c r="I1938" i="1"/>
  <c r="H1938" i="1"/>
  <c r="G1938" i="1"/>
  <c r="F1938" i="1"/>
  <c r="E1938" i="1"/>
  <c r="D1938" i="1"/>
  <c r="C1938" i="1"/>
  <c r="B1938" i="1"/>
  <c r="A1938" i="1"/>
  <c r="J1937" i="1"/>
  <c r="I1937" i="1"/>
  <c r="H1937" i="1"/>
  <c r="G1937" i="1"/>
  <c r="F1937" i="1"/>
  <c r="E1937" i="1"/>
  <c r="D1937" i="1"/>
  <c r="C1937" i="1"/>
  <c r="B1937" i="1"/>
  <c r="A1937" i="1"/>
  <c r="J1936" i="1"/>
  <c r="I1936" i="1"/>
  <c r="H1936" i="1"/>
  <c r="G1936" i="1"/>
  <c r="F1936" i="1"/>
  <c r="E1936" i="1"/>
  <c r="D1936" i="1"/>
  <c r="C1936" i="1"/>
  <c r="B1936" i="1"/>
  <c r="A1936" i="1"/>
  <c r="J1935" i="1"/>
  <c r="I1935" i="1"/>
  <c r="H1935" i="1"/>
  <c r="G1935" i="1"/>
  <c r="F1935" i="1"/>
  <c r="E1935" i="1"/>
  <c r="D1935" i="1"/>
  <c r="C1935" i="1"/>
  <c r="B1935" i="1"/>
  <c r="A1935" i="1"/>
  <c r="J1934" i="1"/>
  <c r="I1934" i="1"/>
  <c r="H1934" i="1"/>
  <c r="G1934" i="1"/>
  <c r="F1934" i="1"/>
  <c r="E1934" i="1"/>
  <c r="D1934" i="1"/>
  <c r="C1934" i="1"/>
  <c r="B1934" i="1"/>
  <c r="A1934" i="1"/>
  <c r="J1933" i="1"/>
  <c r="I1933" i="1"/>
  <c r="H1933" i="1"/>
  <c r="G1933" i="1"/>
  <c r="F1933" i="1"/>
  <c r="E1933" i="1"/>
  <c r="D1933" i="1"/>
  <c r="C1933" i="1"/>
  <c r="B1933" i="1"/>
  <c r="A1933" i="1"/>
  <c r="J1932" i="1"/>
  <c r="I1932" i="1"/>
  <c r="H1932" i="1"/>
  <c r="G1932" i="1"/>
  <c r="F1932" i="1"/>
  <c r="E1932" i="1"/>
  <c r="D1932" i="1"/>
  <c r="C1932" i="1"/>
  <c r="B1932" i="1"/>
  <c r="A1932" i="1"/>
  <c r="J1931" i="1"/>
  <c r="I1931" i="1"/>
  <c r="H1931" i="1"/>
  <c r="G1931" i="1"/>
  <c r="F1931" i="1"/>
  <c r="E1931" i="1"/>
  <c r="D1931" i="1"/>
  <c r="C1931" i="1"/>
  <c r="B1931" i="1"/>
  <c r="A1931" i="1"/>
  <c r="J1930" i="1"/>
  <c r="I1930" i="1"/>
  <c r="H1930" i="1"/>
  <c r="G1930" i="1"/>
  <c r="F1930" i="1"/>
  <c r="E1930" i="1"/>
  <c r="D1930" i="1"/>
  <c r="C1930" i="1"/>
  <c r="B1930" i="1"/>
  <c r="A1930" i="1"/>
  <c r="J1929" i="1"/>
  <c r="I1929" i="1"/>
  <c r="H1929" i="1"/>
  <c r="G1929" i="1"/>
  <c r="F1929" i="1"/>
  <c r="E1929" i="1"/>
  <c r="D1929" i="1"/>
  <c r="C1929" i="1"/>
  <c r="B1929" i="1"/>
  <c r="A1929" i="1"/>
  <c r="J1928" i="1"/>
  <c r="I1928" i="1"/>
  <c r="H1928" i="1"/>
  <c r="G1928" i="1"/>
  <c r="F1928" i="1"/>
  <c r="E1928" i="1"/>
  <c r="D1928" i="1"/>
  <c r="C1928" i="1"/>
  <c r="B1928" i="1"/>
  <c r="A1928" i="1"/>
  <c r="J1927" i="1"/>
  <c r="I1927" i="1"/>
  <c r="H1927" i="1"/>
  <c r="G1927" i="1"/>
  <c r="F1927" i="1"/>
  <c r="E1927" i="1"/>
  <c r="D1927" i="1"/>
  <c r="C1927" i="1"/>
  <c r="B1927" i="1"/>
  <c r="A1927" i="1"/>
  <c r="J1926" i="1"/>
  <c r="I1926" i="1"/>
  <c r="H1926" i="1"/>
  <c r="G1926" i="1"/>
  <c r="F1926" i="1"/>
  <c r="E1926" i="1"/>
  <c r="D1926" i="1"/>
  <c r="C1926" i="1"/>
  <c r="B1926" i="1"/>
  <c r="A1926" i="1"/>
  <c r="J1925" i="1"/>
  <c r="I1925" i="1"/>
  <c r="H1925" i="1"/>
  <c r="G1925" i="1"/>
  <c r="F1925" i="1"/>
  <c r="E1925" i="1"/>
  <c r="D1925" i="1"/>
  <c r="C1925" i="1"/>
  <c r="B1925" i="1"/>
  <c r="A1925" i="1"/>
  <c r="J1924" i="1"/>
  <c r="I1924" i="1"/>
  <c r="H1924" i="1"/>
  <c r="G1924" i="1"/>
  <c r="F1924" i="1"/>
  <c r="E1924" i="1"/>
  <c r="D1924" i="1"/>
  <c r="C1924" i="1"/>
  <c r="B1924" i="1"/>
  <c r="A1924" i="1"/>
  <c r="J1923" i="1"/>
  <c r="I1923" i="1"/>
  <c r="H1923" i="1"/>
  <c r="G1923" i="1"/>
  <c r="F1923" i="1"/>
  <c r="E1923" i="1"/>
  <c r="D1923" i="1"/>
  <c r="C1923" i="1"/>
  <c r="B1923" i="1"/>
  <c r="A1923" i="1"/>
  <c r="J1922" i="1"/>
  <c r="I1922" i="1"/>
  <c r="H1922" i="1"/>
  <c r="G1922" i="1"/>
  <c r="F1922" i="1"/>
  <c r="E1922" i="1"/>
  <c r="D1922" i="1"/>
  <c r="C1922" i="1"/>
  <c r="B1922" i="1"/>
  <c r="A1922" i="1"/>
  <c r="J1921" i="1"/>
  <c r="I1921" i="1"/>
  <c r="H1921" i="1"/>
  <c r="G1921" i="1"/>
  <c r="F1921" i="1"/>
  <c r="E1921" i="1"/>
  <c r="D1921" i="1"/>
  <c r="C1921" i="1"/>
  <c r="B1921" i="1"/>
  <c r="A1921" i="1"/>
  <c r="J1920" i="1"/>
  <c r="I1920" i="1"/>
  <c r="H1920" i="1"/>
  <c r="G1920" i="1"/>
  <c r="F1920" i="1"/>
  <c r="E1920" i="1"/>
  <c r="D1920" i="1"/>
  <c r="C1920" i="1"/>
  <c r="B1920" i="1"/>
  <c r="A1920" i="1"/>
  <c r="J1919" i="1"/>
  <c r="I1919" i="1"/>
  <c r="H1919" i="1"/>
  <c r="G1919" i="1"/>
  <c r="F1919" i="1"/>
  <c r="E1919" i="1"/>
  <c r="D1919" i="1"/>
  <c r="C1919" i="1"/>
  <c r="B1919" i="1"/>
  <c r="A1919" i="1"/>
  <c r="J1918" i="1"/>
  <c r="I1918" i="1"/>
  <c r="H1918" i="1"/>
  <c r="G1918" i="1"/>
  <c r="F1918" i="1"/>
  <c r="E1918" i="1"/>
  <c r="D1918" i="1"/>
  <c r="C1918" i="1"/>
  <c r="B1918" i="1"/>
  <c r="A1918" i="1"/>
  <c r="J1917" i="1"/>
  <c r="I1917" i="1"/>
  <c r="H1917" i="1"/>
  <c r="G1917" i="1"/>
  <c r="F1917" i="1"/>
  <c r="E1917" i="1"/>
  <c r="D1917" i="1"/>
  <c r="C1917" i="1"/>
  <c r="B1917" i="1"/>
  <c r="A1917" i="1"/>
  <c r="J1916" i="1"/>
  <c r="I1916" i="1"/>
  <c r="H1916" i="1"/>
  <c r="G1916" i="1"/>
  <c r="F1916" i="1"/>
  <c r="E1916" i="1"/>
  <c r="D1916" i="1"/>
  <c r="C1916" i="1"/>
  <c r="B1916" i="1"/>
  <c r="A1916" i="1"/>
  <c r="J1915" i="1"/>
  <c r="I1915" i="1"/>
  <c r="H1915" i="1"/>
  <c r="G1915" i="1"/>
  <c r="F1915" i="1"/>
  <c r="E1915" i="1"/>
  <c r="D1915" i="1"/>
  <c r="C1915" i="1"/>
  <c r="B1915" i="1"/>
  <c r="A1915" i="1"/>
  <c r="J1914" i="1"/>
  <c r="I1914" i="1"/>
  <c r="H1914" i="1"/>
  <c r="G1914" i="1"/>
  <c r="F1914" i="1"/>
  <c r="E1914" i="1"/>
  <c r="D1914" i="1"/>
  <c r="C1914" i="1"/>
  <c r="B1914" i="1"/>
  <c r="A1914" i="1"/>
  <c r="J1913" i="1"/>
  <c r="I1913" i="1"/>
  <c r="H1913" i="1"/>
  <c r="G1913" i="1"/>
  <c r="F1913" i="1"/>
  <c r="E1913" i="1"/>
  <c r="D1913" i="1"/>
  <c r="C1913" i="1"/>
  <c r="B1913" i="1"/>
  <c r="A1913" i="1"/>
  <c r="J1912" i="1"/>
  <c r="I1912" i="1"/>
  <c r="H1912" i="1"/>
  <c r="G1912" i="1"/>
  <c r="F1912" i="1"/>
  <c r="E1912" i="1"/>
  <c r="D1912" i="1"/>
  <c r="C1912" i="1"/>
  <c r="B1912" i="1"/>
  <c r="A1912" i="1"/>
  <c r="J1911" i="1"/>
  <c r="I1911" i="1"/>
  <c r="H1911" i="1"/>
  <c r="G1911" i="1"/>
  <c r="F1911" i="1"/>
  <c r="E1911" i="1"/>
  <c r="D1911" i="1"/>
  <c r="C1911" i="1"/>
  <c r="B1911" i="1"/>
  <c r="A1911" i="1"/>
  <c r="J1910" i="1"/>
  <c r="I1910" i="1"/>
  <c r="H1910" i="1"/>
  <c r="G1910" i="1"/>
  <c r="F1910" i="1"/>
  <c r="E1910" i="1"/>
  <c r="D1910" i="1"/>
  <c r="C1910" i="1"/>
  <c r="B1910" i="1"/>
  <c r="A1910" i="1"/>
  <c r="J1909" i="1"/>
  <c r="I1909" i="1"/>
  <c r="H1909" i="1"/>
  <c r="G1909" i="1"/>
  <c r="F1909" i="1"/>
  <c r="E1909" i="1"/>
  <c r="D1909" i="1"/>
  <c r="C1909" i="1"/>
  <c r="B1909" i="1"/>
  <c r="A1909" i="1"/>
  <c r="J1908" i="1"/>
  <c r="I1908" i="1"/>
  <c r="H1908" i="1"/>
  <c r="G1908" i="1"/>
  <c r="F1908" i="1"/>
  <c r="E1908" i="1"/>
  <c r="D1908" i="1"/>
  <c r="C1908" i="1"/>
  <c r="B1908" i="1"/>
  <c r="A1908" i="1"/>
  <c r="J1907" i="1"/>
  <c r="I1907" i="1"/>
  <c r="H1907" i="1"/>
  <c r="G1907" i="1"/>
  <c r="F1907" i="1"/>
  <c r="E1907" i="1"/>
  <c r="D1907" i="1"/>
  <c r="C1907" i="1"/>
  <c r="B1907" i="1"/>
  <c r="A1907" i="1"/>
  <c r="J1906" i="1"/>
  <c r="I1906" i="1"/>
  <c r="H1906" i="1"/>
  <c r="G1906" i="1"/>
  <c r="F1906" i="1"/>
  <c r="E1906" i="1"/>
  <c r="D1906" i="1"/>
  <c r="C1906" i="1"/>
  <c r="B1906" i="1"/>
  <c r="A1906" i="1"/>
  <c r="J1905" i="1"/>
  <c r="I1905" i="1"/>
  <c r="H1905" i="1"/>
  <c r="G1905" i="1"/>
  <c r="F1905" i="1"/>
  <c r="E1905" i="1"/>
  <c r="D1905" i="1"/>
  <c r="C1905" i="1"/>
  <c r="B1905" i="1"/>
  <c r="A1905" i="1"/>
  <c r="J1904" i="1"/>
  <c r="I1904" i="1"/>
  <c r="H1904" i="1"/>
  <c r="G1904" i="1"/>
  <c r="F1904" i="1"/>
  <c r="E1904" i="1"/>
  <c r="D1904" i="1"/>
  <c r="C1904" i="1"/>
  <c r="B1904" i="1"/>
  <c r="A1904" i="1"/>
  <c r="J1903" i="1"/>
  <c r="I1903" i="1"/>
  <c r="H1903" i="1"/>
  <c r="G1903" i="1"/>
  <c r="F1903" i="1"/>
  <c r="E1903" i="1"/>
  <c r="D1903" i="1"/>
  <c r="C1903" i="1"/>
  <c r="B1903" i="1"/>
  <c r="A1903" i="1"/>
  <c r="J1902" i="1"/>
  <c r="I1902" i="1"/>
  <c r="H1902" i="1"/>
  <c r="G1902" i="1"/>
  <c r="F1902" i="1"/>
  <c r="E1902" i="1"/>
  <c r="D1902" i="1"/>
  <c r="C1902" i="1"/>
  <c r="B1902" i="1"/>
  <c r="A1902" i="1"/>
  <c r="J1901" i="1"/>
  <c r="I1901" i="1"/>
  <c r="H1901" i="1"/>
  <c r="G1901" i="1"/>
  <c r="F1901" i="1"/>
  <c r="E1901" i="1"/>
  <c r="D1901" i="1"/>
  <c r="C1901" i="1"/>
  <c r="B1901" i="1"/>
  <c r="A1901" i="1"/>
  <c r="J1900" i="1"/>
  <c r="I1900" i="1"/>
  <c r="H1900" i="1"/>
  <c r="G1900" i="1"/>
  <c r="F1900" i="1"/>
  <c r="E1900" i="1"/>
  <c r="D1900" i="1"/>
  <c r="C1900" i="1"/>
  <c r="B1900" i="1"/>
  <c r="A1900" i="1"/>
  <c r="J1899" i="1"/>
  <c r="I1899" i="1"/>
  <c r="H1899" i="1"/>
  <c r="G1899" i="1"/>
  <c r="F1899" i="1"/>
  <c r="E1899" i="1"/>
  <c r="D1899" i="1"/>
  <c r="C1899" i="1"/>
  <c r="B1899" i="1"/>
  <c r="A1899" i="1"/>
  <c r="J1898" i="1"/>
  <c r="I1898" i="1"/>
  <c r="H1898" i="1"/>
  <c r="G1898" i="1"/>
  <c r="F1898" i="1"/>
  <c r="E1898" i="1"/>
  <c r="D1898" i="1"/>
  <c r="C1898" i="1"/>
  <c r="B1898" i="1"/>
  <c r="A1898" i="1"/>
  <c r="J1897" i="1"/>
  <c r="I1897" i="1"/>
  <c r="H1897" i="1"/>
  <c r="G1897" i="1"/>
  <c r="F1897" i="1"/>
  <c r="E1897" i="1"/>
  <c r="D1897" i="1"/>
  <c r="C1897" i="1"/>
  <c r="B1897" i="1"/>
  <c r="A1897" i="1"/>
  <c r="J1896" i="1"/>
  <c r="I1896" i="1"/>
  <c r="H1896" i="1"/>
  <c r="G1896" i="1"/>
  <c r="F1896" i="1"/>
  <c r="E1896" i="1"/>
  <c r="D1896" i="1"/>
  <c r="C1896" i="1"/>
  <c r="B1896" i="1"/>
  <c r="A1896" i="1"/>
  <c r="J1895" i="1"/>
  <c r="I1895" i="1"/>
  <c r="H1895" i="1"/>
  <c r="G1895" i="1"/>
  <c r="F1895" i="1"/>
  <c r="E1895" i="1"/>
  <c r="D1895" i="1"/>
  <c r="C1895" i="1"/>
  <c r="B1895" i="1"/>
  <c r="A1895" i="1"/>
  <c r="J1894" i="1"/>
  <c r="I1894" i="1"/>
  <c r="H1894" i="1"/>
  <c r="G1894" i="1"/>
  <c r="F1894" i="1"/>
  <c r="E1894" i="1"/>
  <c r="D1894" i="1"/>
  <c r="C1894" i="1"/>
  <c r="B1894" i="1"/>
  <c r="A1894" i="1"/>
  <c r="J1893" i="1"/>
  <c r="I1893" i="1"/>
  <c r="H1893" i="1"/>
  <c r="G1893" i="1"/>
  <c r="F1893" i="1"/>
  <c r="E1893" i="1"/>
  <c r="D1893" i="1"/>
  <c r="C1893" i="1"/>
  <c r="B1893" i="1"/>
  <c r="A1893" i="1"/>
  <c r="J1892" i="1"/>
  <c r="I1892" i="1"/>
  <c r="H1892" i="1"/>
  <c r="G1892" i="1"/>
  <c r="F1892" i="1"/>
  <c r="E1892" i="1"/>
  <c r="D1892" i="1"/>
  <c r="C1892" i="1"/>
  <c r="B1892" i="1"/>
  <c r="A1892" i="1"/>
  <c r="J1891" i="1"/>
  <c r="I1891" i="1"/>
  <c r="H1891" i="1"/>
  <c r="G1891" i="1"/>
  <c r="F1891" i="1"/>
  <c r="E1891" i="1"/>
  <c r="D1891" i="1"/>
  <c r="C1891" i="1"/>
  <c r="B1891" i="1"/>
  <c r="A1891" i="1"/>
  <c r="J1890" i="1"/>
  <c r="I1890" i="1"/>
  <c r="H1890" i="1"/>
  <c r="G1890" i="1"/>
  <c r="F1890" i="1"/>
  <c r="E1890" i="1"/>
  <c r="D1890" i="1"/>
  <c r="C1890" i="1"/>
  <c r="B1890" i="1"/>
  <c r="A1890" i="1"/>
  <c r="J1889" i="1"/>
  <c r="I1889" i="1"/>
  <c r="H1889" i="1"/>
  <c r="G1889" i="1"/>
  <c r="F1889" i="1"/>
  <c r="E1889" i="1"/>
  <c r="D1889" i="1"/>
  <c r="C1889" i="1"/>
  <c r="B1889" i="1"/>
  <c r="A1889" i="1"/>
  <c r="J1888" i="1"/>
  <c r="I1888" i="1"/>
  <c r="H1888" i="1"/>
  <c r="G1888" i="1"/>
  <c r="F1888" i="1"/>
  <c r="E1888" i="1"/>
  <c r="D1888" i="1"/>
  <c r="C1888" i="1"/>
  <c r="B1888" i="1"/>
  <c r="A1888" i="1"/>
  <c r="J1887" i="1"/>
  <c r="I1887" i="1"/>
  <c r="H1887" i="1"/>
  <c r="G1887" i="1"/>
  <c r="F1887" i="1"/>
  <c r="E1887" i="1"/>
  <c r="D1887" i="1"/>
  <c r="C1887" i="1"/>
  <c r="B1887" i="1"/>
  <c r="A1887" i="1"/>
  <c r="J1886" i="1"/>
  <c r="I1886" i="1"/>
  <c r="H1886" i="1"/>
  <c r="G1886" i="1"/>
  <c r="F1886" i="1"/>
  <c r="E1886" i="1"/>
  <c r="D1886" i="1"/>
  <c r="C1886" i="1"/>
  <c r="B1886" i="1"/>
  <c r="A1886" i="1"/>
  <c r="J1885" i="1"/>
  <c r="I1885" i="1"/>
  <c r="H1885" i="1"/>
  <c r="G1885" i="1"/>
  <c r="F1885" i="1"/>
  <c r="E1885" i="1"/>
  <c r="D1885" i="1"/>
  <c r="C1885" i="1"/>
  <c r="B1885" i="1"/>
  <c r="A1885" i="1"/>
  <c r="J1884" i="1"/>
  <c r="I1884" i="1"/>
  <c r="H1884" i="1"/>
  <c r="G1884" i="1"/>
  <c r="F1884" i="1"/>
  <c r="E1884" i="1"/>
  <c r="D1884" i="1"/>
  <c r="C1884" i="1"/>
  <c r="B1884" i="1"/>
  <c r="A1884" i="1"/>
  <c r="J1883" i="1"/>
  <c r="I1883" i="1"/>
  <c r="H1883" i="1"/>
  <c r="G1883" i="1"/>
  <c r="F1883" i="1"/>
  <c r="E1883" i="1"/>
  <c r="D1883" i="1"/>
  <c r="C1883" i="1"/>
  <c r="B1883" i="1"/>
  <c r="A1883" i="1"/>
  <c r="J1882" i="1"/>
  <c r="I1882" i="1"/>
  <c r="H1882" i="1"/>
  <c r="G1882" i="1"/>
  <c r="F1882" i="1"/>
  <c r="E1882" i="1"/>
  <c r="D1882" i="1"/>
  <c r="C1882" i="1"/>
  <c r="B1882" i="1"/>
  <c r="A1882" i="1"/>
  <c r="J1881" i="1"/>
  <c r="I1881" i="1"/>
  <c r="H1881" i="1"/>
  <c r="G1881" i="1"/>
  <c r="F1881" i="1"/>
  <c r="E1881" i="1"/>
  <c r="D1881" i="1"/>
  <c r="C1881" i="1"/>
  <c r="B1881" i="1"/>
  <c r="A1881" i="1"/>
  <c r="J1880" i="1"/>
  <c r="I1880" i="1"/>
  <c r="H1880" i="1"/>
  <c r="G1880" i="1"/>
  <c r="F1880" i="1"/>
  <c r="E1880" i="1"/>
  <c r="C1880" i="1"/>
  <c r="B1880" i="1"/>
  <c r="A1880" i="1"/>
  <c r="J1879" i="1"/>
  <c r="I1879" i="1"/>
  <c r="H1879" i="1"/>
  <c r="G1879" i="1"/>
  <c r="F1879" i="1"/>
  <c r="E1879" i="1"/>
  <c r="D1879" i="1"/>
  <c r="C1879" i="1"/>
  <c r="B1879" i="1"/>
  <c r="A1879" i="1"/>
  <c r="J1878" i="1"/>
  <c r="I1878" i="1"/>
  <c r="H1878" i="1"/>
  <c r="G1878" i="1"/>
  <c r="F1878" i="1"/>
  <c r="E1878" i="1"/>
  <c r="D1878" i="1"/>
  <c r="C1878" i="1"/>
  <c r="B1878" i="1"/>
  <c r="A1878" i="1"/>
  <c r="J1877" i="1"/>
  <c r="I1877" i="1"/>
  <c r="H1877" i="1"/>
  <c r="G1877" i="1"/>
  <c r="F1877" i="1"/>
  <c r="E1877" i="1"/>
  <c r="D1877" i="1"/>
  <c r="C1877" i="1"/>
  <c r="B1877" i="1"/>
  <c r="A1877" i="1"/>
  <c r="J1876" i="1"/>
  <c r="I1876" i="1"/>
  <c r="H1876" i="1"/>
  <c r="G1876" i="1"/>
  <c r="F1876" i="1"/>
  <c r="E1876" i="1"/>
  <c r="D1876" i="1"/>
  <c r="C1876" i="1"/>
  <c r="B1876" i="1"/>
  <c r="A1876" i="1"/>
  <c r="J1875" i="1"/>
  <c r="I1875" i="1"/>
  <c r="H1875" i="1"/>
  <c r="G1875" i="1"/>
  <c r="F1875" i="1"/>
  <c r="E1875" i="1"/>
  <c r="D1875" i="1"/>
  <c r="C1875" i="1"/>
  <c r="B1875" i="1"/>
  <c r="A1875" i="1"/>
  <c r="J1874" i="1"/>
  <c r="I1874" i="1"/>
  <c r="H1874" i="1"/>
  <c r="G1874" i="1"/>
  <c r="F1874" i="1"/>
  <c r="E1874" i="1"/>
  <c r="D1874" i="1"/>
  <c r="C1874" i="1"/>
  <c r="B1874" i="1"/>
  <c r="A1874" i="1"/>
  <c r="J1873" i="1"/>
  <c r="I1873" i="1"/>
  <c r="H1873" i="1"/>
  <c r="G1873" i="1"/>
  <c r="F1873" i="1"/>
  <c r="E1873" i="1"/>
  <c r="D1873" i="1"/>
  <c r="C1873" i="1"/>
  <c r="B1873" i="1"/>
  <c r="A1873" i="1"/>
  <c r="J1872" i="1"/>
  <c r="I1872" i="1"/>
  <c r="H1872" i="1"/>
  <c r="G1872" i="1"/>
  <c r="F1872" i="1"/>
  <c r="E1872" i="1"/>
  <c r="D1872" i="1"/>
  <c r="C1872" i="1"/>
  <c r="B1872" i="1"/>
  <c r="A1872" i="1"/>
  <c r="J1871" i="1"/>
  <c r="I1871" i="1"/>
  <c r="H1871" i="1"/>
  <c r="G1871" i="1"/>
  <c r="F1871" i="1"/>
  <c r="E1871" i="1"/>
  <c r="D1871" i="1"/>
  <c r="C1871" i="1"/>
  <c r="B1871" i="1"/>
  <c r="A1871" i="1"/>
  <c r="J1870" i="1"/>
  <c r="I1870" i="1"/>
  <c r="H1870" i="1"/>
  <c r="G1870" i="1"/>
  <c r="F1870" i="1"/>
  <c r="E1870" i="1"/>
  <c r="D1870" i="1"/>
  <c r="C1870" i="1"/>
  <c r="B1870" i="1"/>
  <c r="A1870" i="1"/>
  <c r="J1869" i="1"/>
  <c r="I1869" i="1"/>
  <c r="H1869" i="1"/>
  <c r="G1869" i="1"/>
  <c r="F1869" i="1"/>
  <c r="E1869" i="1"/>
  <c r="D1869" i="1"/>
  <c r="C1869" i="1"/>
  <c r="B1869" i="1"/>
  <c r="A1869" i="1"/>
  <c r="J1868" i="1"/>
  <c r="I1868" i="1"/>
  <c r="H1868" i="1"/>
  <c r="G1868" i="1"/>
  <c r="F1868" i="1"/>
  <c r="E1868" i="1"/>
  <c r="D1868" i="1"/>
  <c r="C1868" i="1"/>
  <c r="B1868" i="1"/>
  <c r="A1868" i="1"/>
  <c r="J1867" i="1"/>
  <c r="I1867" i="1"/>
  <c r="H1867" i="1"/>
  <c r="G1867" i="1"/>
  <c r="F1867" i="1"/>
  <c r="E1867" i="1"/>
  <c r="D1867" i="1"/>
  <c r="C1867" i="1"/>
  <c r="B1867" i="1"/>
  <c r="A1867" i="1"/>
  <c r="J1866" i="1"/>
  <c r="I1866" i="1"/>
  <c r="H1866" i="1"/>
  <c r="G1866" i="1"/>
  <c r="F1866" i="1"/>
  <c r="E1866" i="1"/>
  <c r="D1866" i="1"/>
  <c r="C1866" i="1"/>
  <c r="B1866" i="1"/>
  <c r="A1866" i="1"/>
  <c r="J1865" i="1"/>
  <c r="I1865" i="1"/>
  <c r="H1865" i="1"/>
  <c r="G1865" i="1"/>
  <c r="F1865" i="1"/>
  <c r="E1865" i="1"/>
  <c r="D1865" i="1"/>
  <c r="C1865" i="1"/>
  <c r="B1865" i="1"/>
  <c r="A1865" i="1"/>
  <c r="J1864" i="1"/>
  <c r="I1864" i="1"/>
  <c r="H1864" i="1"/>
  <c r="G1864" i="1"/>
  <c r="F1864" i="1"/>
  <c r="E1864" i="1"/>
  <c r="D1864" i="1"/>
  <c r="C1864" i="1"/>
  <c r="B1864" i="1"/>
  <c r="A1864" i="1"/>
  <c r="J1863" i="1"/>
  <c r="I1863" i="1"/>
  <c r="H1863" i="1"/>
  <c r="G1863" i="1"/>
  <c r="F1863" i="1"/>
  <c r="E1863" i="1"/>
  <c r="D1863" i="1"/>
  <c r="C1863" i="1"/>
  <c r="B1863" i="1"/>
  <c r="A1863" i="1"/>
  <c r="J1862" i="1"/>
  <c r="I1862" i="1"/>
  <c r="H1862" i="1"/>
  <c r="G1862" i="1"/>
  <c r="F1862" i="1"/>
  <c r="E1862" i="1"/>
  <c r="D1862" i="1"/>
  <c r="C1862" i="1"/>
  <c r="B1862" i="1"/>
  <c r="A1862" i="1"/>
  <c r="J1861" i="1"/>
  <c r="I1861" i="1"/>
  <c r="H1861" i="1"/>
  <c r="G1861" i="1"/>
  <c r="F1861" i="1"/>
  <c r="E1861" i="1"/>
  <c r="D1861" i="1"/>
  <c r="C1861" i="1"/>
  <c r="B1861" i="1"/>
  <c r="A1861" i="1"/>
  <c r="J1860" i="1"/>
  <c r="I1860" i="1"/>
  <c r="H1860" i="1"/>
  <c r="G1860" i="1"/>
  <c r="F1860" i="1"/>
  <c r="E1860" i="1"/>
  <c r="D1860" i="1"/>
  <c r="C1860" i="1"/>
  <c r="B1860" i="1"/>
  <c r="A1860" i="1"/>
  <c r="J1859" i="1"/>
  <c r="I1859" i="1"/>
  <c r="H1859" i="1"/>
  <c r="G1859" i="1"/>
  <c r="F1859" i="1"/>
  <c r="E1859" i="1"/>
  <c r="D1859" i="1"/>
  <c r="C1859" i="1"/>
  <c r="B1859" i="1"/>
  <c r="A1859" i="1"/>
  <c r="J1858" i="1"/>
  <c r="I1858" i="1"/>
  <c r="H1858" i="1"/>
  <c r="G1858" i="1"/>
  <c r="F1858" i="1"/>
  <c r="E1858" i="1"/>
  <c r="D1858" i="1"/>
  <c r="C1858" i="1"/>
  <c r="B1858" i="1"/>
  <c r="A1858" i="1"/>
  <c r="J1857" i="1"/>
  <c r="I1857" i="1"/>
  <c r="H1857" i="1"/>
  <c r="G1857" i="1"/>
  <c r="F1857" i="1"/>
  <c r="E1857" i="1"/>
  <c r="D1857" i="1"/>
  <c r="C1857" i="1"/>
  <c r="B1857" i="1"/>
  <c r="A1857" i="1"/>
  <c r="J1856" i="1"/>
  <c r="I1856" i="1"/>
  <c r="H1856" i="1"/>
  <c r="G1856" i="1"/>
  <c r="F1856" i="1"/>
  <c r="E1856" i="1"/>
  <c r="D1856" i="1"/>
  <c r="C1856" i="1"/>
  <c r="B1856" i="1"/>
  <c r="A1856" i="1"/>
  <c r="J1855" i="1"/>
  <c r="I1855" i="1"/>
  <c r="H1855" i="1"/>
  <c r="G1855" i="1"/>
  <c r="F1855" i="1"/>
  <c r="E1855" i="1"/>
  <c r="D1855" i="1"/>
  <c r="C1855" i="1"/>
  <c r="B1855" i="1"/>
  <c r="A1855" i="1"/>
  <c r="J1854" i="1"/>
  <c r="I1854" i="1"/>
  <c r="H1854" i="1"/>
  <c r="G1854" i="1"/>
  <c r="F1854" i="1"/>
  <c r="E1854" i="1"/>
  <c r="D1854" i="1"/>
  <c r="C1854" i="1"/>
  <c r="B1854" i="1"/>
  <c r="A1854" i="1"/>
  <c r="J1853" i="1"/>
  <c r="I1853" i="1"/>
  <c r="H1853" i="1"/>
  <c r="G1853" i="1"/>
  <c r="F1853" i="1"/>
  <c r="E1853" i="1"/>
  <c r="D1853" i="1"/>
  <c r="C1853" i="1"/>
  <c r="B1853" i="1"/>
  <c r="A1853" i="1"/>
  <c r="J1852" i="1"/>
  <c r="I1852" i="1"/>
  <c r="H1852" i="1"/>
  <c r="G1852" i="1"/>
  <c r="F1852" i="1"/>
  <c r="E1852" i="1"/>
  <c r="C1852" i="1"/>
  <c r="B1852" i="1"/>
  <c r="A1852" i="1"/>
  <c r="J1851" i="1"/>
  <c r="I1851" i="1"/>
  <c r="H1851" i="1"/>
  <c r="G1851" i="1"/>
  <c r="F1851" i="1"/>
  <c r="E1851" i="1"/>
  <c r="D1851" i="1"/>
  <c r="C1851" i="1"/>
  <c r="B1851" i="1"/>
  <c r="A1851" i="1"/>
  <c r="J1850" i="1"/>
  <c r="I1850" i="1"/>
  <c r="H1850" i="1"/>
  <c r="G1850" i="1"/>
  <c r="F1850" i="1"/>
  <c r="E1850" i="1"/>
  <c r="D1850" i="1"/>
  <c r="C1850" i="1"/>
  <c r="B1850" i="1"/>
  <c r="A1850" i="1"/>
  <c r="J1849" i="1"/>
  <c r="I1849" i="1"/>
  <c r="H1849" i="1"/>
  <c r="G1849" i="1"/>
  <c r="F1849" i="1"/>
  <c r="E1849" i="1"/>
  <c r="D1849" i="1"/>
  <c r="C1849" i="1"/>
  <c r="B1849" i="1"/>
  <c r="A1849" i="1"/>
  <c r="J1848" i="1"/>
  <c r="I1848" i="1"/>
  <c r="H1848" i="1"/>
  <c r="G1848" i="1"/>
  <c r="F1848" i="1"/>
  <c r="E1848" i="1"/>
  <c r="D1848" i="1"/>
  <c r="C1848" i="1"/>
  <c r="B1848" i="1"/>
  <c r="A1848" i="1"/>
  <c r="J1847" i="1"/>
  <c r="I1847" i="1"/>
  <c r="H1847" i="1"/>
  <c r="G1847" i="1"/>
  <c r="F1847" i="1"/>
  <c r="E1847" i="1"/>
  <c r="D1847" i="1"/>
  <c r="C1847" i="1"/>
  <c r="B1847" i="1"/>
  <c r="A1847" i="1"/>
  <c r="J1846" i="1"/>
  <c r="I1846" i="1"/>
  <c r="H1846" i="1"/>
  <c r="G1846" i="1"/>
  <c r="F1846" i="1"/>
  <c r="E1846" i="1"/>
  <c r="D1846" i="1"/>
  <c r="C1846" i="1"/>
  <c r="B1846" i="1"/>
  <c r="A1846" i="1"/>
  <c r="J1845" i="1"/>
  <c r="I1845" i="1"/>
  <c r="H1845" i="1"/>
  <c r="G1845" i="1"/>
  <c r="F1845" i="1"/>
  <c r="E1845" i="1"/>
  <c r="D1845" i="1"/>
  <c r="C1845" i="1"/>
  <c r="B1845" i="1"/>
  <c r="A1845" i="1"/>
  <c r="J1844" i="1"/>
  <c r="I1844" i="1"/>
  <c r="H1844" i="1"/>
  <c r="G1844" i="1"/>
  <c r="F1844" i="1"/>
  <c r="E1844" i="1"/>
  <c r="D1844" i="1"/>
  <c r="C1844" i="1"/>
  <c r="B1844" i="1"/>
  <c r="A1844" i="1"/>
  <c r="J1843" i="1"/>
  <c r="I1843" i="1"/>
  <c r="H1843" i="1"/>
  <c r="G1843" i="1"/>
  <c r="F1843" i="1"/>
  <c r="E1843" i="1"/>
  <c r="D1843" i="1"/>
  <c r="C1843" i="1"/>
  <c r="B1843" i="1"/>
  <c r="A1843" i="1"/>
  <c r="J1842" i="1"/>
  <c r="I1842" i="1"/>
  <c r="H1842" i="1"/>
  <c r="G1842" i="1"/>
  <c r="F1842" i="1"/>
  <c r="E1842" i="1"/>
  <c r="D1842" i="1"/>
  <c r="C1842" i="1"/>
  <c r="B1842" i="1"/>
  <c r="A1842" i="1"/>
  <c r="J1841" i="1"/>
  <c r="I1841" i="1"/>
  <c r="H1841" i="1"/>
  <c r="G1841" i="1"/>
  <c r="F1841" i="1"/>
  <c r="E1841" i="1"/>
  <c r="D1841" i="1"/>
  <c r="C1841" i="1"/>
  <c r="B1841" i="1"/>
  <c r="A1841" i="1"/>
  <c r="J1840" i="1"/>
  <c r="I1840" i="1"/>
  <c r="H1840" i="1"/>
  <c r="G1840" i="1"/>
  <c r="F1840" i="1"/>
  <c r="E1840" i="1"/>
  <c r="D1840" i="1"/>
  <c r="C1840" i="1"/>
  <c r="B1840" i="1"/>
  <c r="A1840" i="1"/>
  <c r="J1839" i="1"/>
  <c r="I1839" i="1"/>
  <c r="H1839" i="1"/>
  <c r="G1839" i="1"/>
  <c r="F1839" i="1"/>
  <c r="E1839" i="1"/>
  <c r="D1839" i="1"/>
  <c r="C1839" i="1"/>
  <c r="B1839" i="1"/>
  <c r="A1839" i="1"/>
  <c r="J1838" i="1"/>
  <c r="I1838" i="1"/>
  <c r="H1838" i="1"/>
  <c r="G1838" i="1"/>
  <c r="F1838" i="1"/>
  <c r="E1838" i="1"/>
  <c r="D1838" i="1"/>
  <c r="C1838" i="1"/>
  <c r="B1838" i="1"/>
  <c r="A1838" i="1"/>
  <c r="J1837" i="1"/>
  <c r="I1837" i="1"/>
  <c r="H1837" i="1"/>
  <c r="G1837" i="1"/>
  <c r="F1837" i="1"/>
  <c r="E1837" i="1"/>
  <c r="D1837" i="1"/>
  <c r="C1837" i="1"/>
  <c r="B1837" i="1"/>
  <c r="A1837" i="1"/>
  <c r="J1836" i="1"/>
  <c r="I1836" i="1"/>
  <c r="H1836" i="1"/>
  <c r="G1836" i="1"/>
  <c r="F1836" i="1"/>
  <c r="E1836" i="1"/>
  <c r="D1836" i="1"/>
  <c r="C1836" i="1"/>
  <c r="B1836" i="1"/>
  <c r="A1836" i="1"/>
  <c r="J1835" i="1"/>
  <c r="I1835" i="1"/>
  <c r="H1835" i="1"/>
  <c r="G1835" i="1"/>
  <c r="F1835" i="1"/>
  <c r="E1835" i="1"/>
  <c r="D1835" i="1"/>
  <c r="C1835" i="1"/>
  <c r="B1835" i="1"/>
  <c r="A1835" i="1"/>
  <c r="J1834" i="1"/>
  <c r="I1834" i="1"/>
  <c r="H1834" i="1"/>
  <c r="G1834" i="1"/>
  <c r="F1834" i="1"/>
  <c r="E1834" i="1"/>
  <c r="D1834" i="1"/>
  <c r="C1834" i="1"/>
  <c r="B1834" i="1"/>
  <c r="A1834" i="1"/>
  <c r="J1833" i="1"/>
  <c r="I1833" i="1"/>
  <c r="H1833" i="1"/>
  <c r="G1833" i="1"/>
  <c r="F1833" i="1"/>
  <c r="E1833" i="1"/>
  <c r="D1833" i="1"/>
  <c r="C1833" i="1"/>
  <c r="B1833" i="1"/>
  <c r="A1833" i="1"/>
  <c r="J1832" i="1"/>
  <c r="I1832" i="1"/>
  <c r="H1832" i="1"/>
  <c r="G1832" i="1"/>
  <c r="F1832" i="1"/>
  <c r="E1832" i="1"/>
  <c r="D1832" i="1"/>
  <c r="C1832" i="1"/>
  <c r="B1832" i="1"/>
  <c r="A1832" i="1"/>
  <c r="J1831" i="1"/>
  <c r="I1831" i="1"/>
  <c r="H1831" i="1"/>
  <c r="G1831" i="1"/>
  <c r="F1831" i="1"/>
  <c r="E1831" i="1"/>
  <c r="D1831" i="1"/>
  <c r="C1831" i="1"/>
  <c r="B1831" i="1"/>
  <c r="A1831" i="1"/>
  <c r="J1830" i="1"/>
  <c r="I1830" i="1"/>
  <c r="H1830" i="1"/>
  <c r="G1830" i="1"/>
  <c r="F1830" i="1"/>
  <c r="E1830" i="1"/>
  <c r="C1830" i="1"/>
  <c r="B1830" i="1"/>
  <c r="A1830" i="1"/>
  <c r="J1829" i="1"/>
  <c r="I1829" i="1"/>
  <c r="H1829" i="1"/>
  <c r="G1829" i="1"/>
  <c r="F1829" i="1"/>
  <c r="E1829" i="1"/>
  <c r="D1829" i="1"/>
  <c r="C1829" i="1"/>
  <c r="B1829" i="1"/>
  <c r="A1829" i="1"/>
  <c r="J1828" i="1"/>
  <c r="I1828" i="1"/>
  <c r="H1828" i="1"/>
  <c r="G1828" i="1"/>
  <c r="F1828" i="1"/>
  <c r="E1828" i="1"/>
  <c r="D1828" i="1"/>
  <c r="C1828" i="1"/>
  <c r="B1828" i="1"/>
  <c r="A1828" i="1"/>
  <c r="J1827" i="1"/>
  <c r="I1827" i="1"/>
  <c r="H1827" i="1"/>
  <c r="G1827" i="1"/>
  <c r="F1827" i="1"/>
  <c r="E1827" i="1"/>
  <c r="D1827" i="1"/>
  <c r="C1827" i="1"/>
  <c r="B1827" i="1"/>
  <c r="A1827" i="1"/>
  <c r="J1826" i="1"/>
  <c r="I1826" i="1"/>
  <c r="H1826" i="1"/>
  <c r="G1826" i="1"/>
  <c r="F1826" i="1"/>
  <c r="E1826" i="1"/>
  <c r="D1826" i="1"/>
  <c r="C1826" i="1"/>
  <c r="B1826" i="1"/>
  <c r="A1826" i="1"/>
  <c r="J1825" i="1"/>
  <c r="I1825" i="1"/>
  <c r="H1825" i="1"/>
  <c r="G1825" i="1"/>
  <c r="F1825" i="1"/>
  <c r="E1825" i="1"/>
  <c r="D1825" i="1"/>
  <c r="C1825" i="1"/>
  <c r="B1825" i="1"/>
  <c r="A1825" i="1"/>
  <c r="J1824" i="1"/>
  <c r="I1824" i="1"/>
  <c r="H1824" i="1"/>
  <c r="G1824" i="1"/>
  <c r="F1824" i="1"/>
  <c r="E1824" i="1"/>
  <c r="D1824" i="1"/>
  <c r="C1824" i="1"/>
  <c r="B1824" i="1"/>
  <c r="A1824" i="1"/>
  <c r="J1823" i="1"/>
  <c r="I1823" i="1"/>
  <c r="H1823" i="1"/>
  <c r="G1823" i="1"/>
  <c r="F1823" i="1"/>
  <c r="E1823" i="1"/>
  <c r="D1823" i="1"/>
  <c r="C1823" i="1"/>
  <c r="B1823" i="1"/>
  <c r="A1823" i="1"/>
  <c r="J1822" i="1"/>
  <c r="I1822" i="1"/>
  <c r="H1822" i="1"/>
  <c r="G1822" i="1"/>
  <c r="F1822" i="1"/>
  <c r="E1822" i="1"/>
  <c r="D1822" i="1"/>
  <c r="C1822" i="1"/>
  <c r="B1822" i="1"/>
  <c r="A1822" i="1"/>
  <c r="J1821" i="1"/>
  <c r="I1821" i="1"/>
  <c r="H1821" i="1"/>
  <c r="G1821" i="1"/>
  <c r="F1821" i="1"/>
  <c r="E1821" i="1"/>
  <c r="D1821" i="1"/>
  <c r="C1821" i="1"/>
  <c r="B1821" i="1"/>
  <c r="A1821" i="1"/>
  <c r="J1820" i="1"/>
  <c r="I1820" i="1"/>
  <c r="H1820" i="1"/>
  <c r="G1820" i="1"/>
  <c r="F1820" i="1"/>
  <c r="E1820" i="1"/>
  <c r="D1820" i="1"/>
  <c r="C1820" i="1"/>
  <c r="B1820" i="1"/>
  <c r="A1820" i="1"/>
  <c r="J1819" i="1"/>
  <c r="I1819" i="1"/>
  <c r="H1819" i="1"/>
  <c r="G1819" i="1"/>
  <c r="F1819" i="1"/>
  <c r="E1819" i="1"/>
  <c r="D1819" i="1"/>
  <c r="C1819" i="1"/>
  <c r="B1819" i="1"/>
  <c r="A1819" i="1"/>
  <c r="J1818" i="1"/>
  <c r="I1818" i="1"/>
  <c r="H1818" i="1"/>
  <c r="G1818" i="1"/>
  <c r="F1818" i="1"/>
  <c r="E1818" i="1"/>
  <c r="D1818" i="1"/>
  <c r="C1818" i="1"/>
  <c r="B1818" i="1"/>
  <c r="A1818" i="1"/>
  <c r="J1817" i="1"/>
  <c r="I1817" i="1"/>
  <c r="H1817" i="1"/>
  <c r="G1817" i="1"/>
  <c r="F1817" i="1"/>
  <c r="E1817" i="1"/>
  <c r="D1817" i="1"/>
  <c r="C1817" i="1"/>
  <c r="B1817" i="1"/>
  <c r="A1817" i="1"/>
  <c r="J1816" i="1"/>
  <c r="I1816" i="1"/>
  <c r="H1816" i="1"/>
  <c r="G1816" i="1"/>
  <c r="F1816" i="1"/>
  <c r="E1816" i="1"/>
  <c r="D1816" i="1"/>
  <c r="C1816" i="1"/>
  <c r="B1816" i="1"/>
  <c r="A1816" i="1"/>
  <c r="J1815" i="1"/>
  <c r="I1815" i="1"/>
  <c r="H1815" i="1"/>
  <c r="G1815" i="1"/>
  <c r="F1815" i="1"/>
  <c r="E1815" i="1"/>
  <c r="D1815" i="1"/>
  <c r="C1815" i="1"/>
  <c r="B1815" i="1"/>
  <c r="A1815" i="1"/>
  <c r="J1814" i="1"/>
  <c r="I1814" i="1"/>
  <c r="H1814" i="1"/>
  <c r="G1814" i="1"/>
  <c r="F1814" i="1"/>
  <c r="E1814" i="1"/>
  <c r="D1814" i="1"/>
  <c r="C1814" i="1"/>
  <c r="B1814" i="1"/>
  <c r="A1814" i="1"/>
  <c r="J1813" i="1"/>
  <c r="I1813" i="1"/>
  <c r="H1813" i="1"/>
  <c r="G1813" i="1"/>
  <c r="F1813" i="1"/>
  <c r="E1813" i="1"/>
  <c r="D1813" i="1"/>
  <c r="C1813" i="1"/>
  <c r="B1813" i="1"/>
  <c r="A1813" i="1"/>
  <c r="J1812" i="1"/>
  <c r="I1812" i="1"/>
  <c r="H1812" i="1"/>
  <c r="G1812" i="1"/>
  <c r="F1812" i="1"/>
  <c r="E1812" i="1"/>
  <c r="D1812" i="1"/>
  <c r="C1812" i="1"/>
  <c r="B1812" i="1"/>
  <c r="A1812" i="1"/>
  <c r="J1811" i="1"/>
  <c r="I1811" i="1"/>
  <c r="H1811" i="1"/>
  <c r="G1811" i="1"/>
  <c r="F1811" i="1"/>
  <c r="E1811" i="1"/>
  <c r="D1811" i="1"/>
  <c r="C1811" i="1"/>
  <c r="B1811" i="1"/>
  <c r="A1811" i="1"/>
  <c r="J1810" i="1"/>
  <c r="I1810" i="1"/>
  <c r="H1810" i="1"/>
  <c r="G1810" i="1"/>
  <c r="F1810" i="1"/>
  <c r="E1810" i="1"/>
  <c r="D1810" i="1"/>
  <c r="C1810" i="1"/>
  <c r="B1810" i="1"/>
  <c r="A1810" i="1"/>
  <c r="J1809" i="1"/>
  <c r="I1809" i="1"/>
  <c r="H1809" i="1"/>
  <c r="G1809" i="1"/>
  <c r="F1809" i="1"/>
  <c r="E1809" i="1"/>
  <c r="D1809" i="1"/>
  <c r="C1809" i="1"/>
  <c r="B1809" i="1"/>
  <c r="A1809" i="1"/>
  <c r="J1808" i="1"/>
  <c r="I1808" i="1"/>
  <c r="H1808" i="1"/>
  <c r="G1808" i="1"/>
  <c r="F1808" i="1"/>
  <c r="E1808" i="1"/>
  <c r="D1808" i="1"/>
  <c r="C1808" i="1"/>
  <c r="B1808" i="1"/>
  <c r="A1808" i="1"/>
  <c r="J1807" i="1"/>
  <c r="I1807" i="1"/>
  <c r="H1807" i="1"/>
  <c r="G1807" i="1"/>
  <c r="F1807" i="1"/>
  <c r="E1807" i="1"/>
  <c r="D1807" i="1"/>
  <c r="C1807" i="1"/>
  <c r="B1807" i="1"/>
  <c r="A1807" i="1"/>
  <c r="J1806" i="1"/>
  <c r="I1806" i="1"/>
  <c r="H1806" i="1"/>
  <c r="G1806" i="1"/>
  <c r="F1806" i="1"/>
  <c r="E1806" i="1"/>
  <c r="D1806" i="1"/>
  <c r="C1806" i="1"/>
  <c r="B1806" i="1"/>
  <c r="A1806" i="1"/>
  <c r="J1805" i="1"/>
  <c r="I1805" i="1"/>
  <c r="H1805" i="1"/>
  <c r="G1805" i="1"/>
  <c r="F1805" i="1"/>
  <c r="E1805" i="1"/>
  <c r="D1805" i="1"/>
  <c r="C1805" i="1"/>
  <c r="B1805" i="1"/>
  <c r="A1805" i="1"/>
  <c r="J1804" i="1"/>
  <c r="I1804" i="1"/>
  <c r="H1804" i="1"/>
  <c r="G1804" i="1"/>
  <c r="F1804" i="1"/>
  <c r="E1804" i="1"/>
  <c r="D1804" i="1"/>
  <c r="C1804" i="1"/>
  <c r="B1804" i="1"/>
  <c r="A1804" i="1"/>
  <c r="J1803" i="1"/>
  <c r="I1803" i="1"/>
  <c r="H1803" i="1"/>
  <c r="G1803" i="1"/>
  <c r="F1803" i="1"/>
  <c r="E1803" i="1"/>
  <c r="D1803" i="1"/>
  <c r="C1803" i="1"/>
  <c r="B1803" i="1"/>
  <c r="A1803" i="1"/>
  <c r="J1802" i="1"/>
  <c r="I1802" i="1"/>
  <c r="H1802" i="1"/>
  <c r="G1802" i="1"/>
  <c r="F1802" i="1"/>
  <c r="E1802" i="1"/>
  <c r="D1802" i="1"/>
  <c r="C1802" i="1"/>
  <c r="B1802" i="1"/>
  <c r="A1802" i="1"/>
  <c r="J1801" i="1"/>
  <c r="I1801" i="1"/>
  <c r="H1801" i="1"/>
  <c r="G1801" i="1"/>
  <c r="F1801" i="1"/>
  <c r="E1801" i="1"/>
  <c r="D1801" i="1"/>
  <c r="C1801" i="1"/>
  <c r="B1801" i="1"/>
  <c r="A1801" i="1"/>
  <c r="J1800" i="1"/>
  <c r="I1800" i="1"/>
  <c r="H1800" i="1"/>
  <c r="G1800" i="1"/>
  <c r="F1800" i="1"/>
  <c r="E1800" i="1"/>
  <c r="D1800" i="1"/>
  <c r="C1800" i="1"/>
  <c r="B1800" i="1"/>
  <c r="A1800" i="1"/>
  <c r="J1799" i="1"/>
  <c r="I1799" i="1"/>
  <c r="H1799" i="1"/>
  <c r="G1799" i="1"/>
  <c r="F1799" i="1"/>
  <c r="E1799" i="1"/>
  <c r="D1799" i="1"/>
  <c r="C1799" i="1"/>
  <c r="B1799" i="1"/>
  <c r="A1799" i="1"/>
  <c r="J1798" i="1"/>
  <c r="I1798" i="1"/>
  <c r="H1798" i="1"/>
  <c r="G1798" i="1"/>
  <c r="F1798" i="1"/>
  <c r="E1798" i="1"/>
  <c r="D1798" i="1"/>
  <c r="C1798" i="1"/>
  <c r="B1798" i="1"/>
  <c r="A1798" i="1"/>
  <c r="J1797" i="1"/>
  <c r="I1797" i="1"/>
  <c r="H1797" i="1"/>
  <c r="G1797" i="1"/>
  <c r="F1797" i="1"/>
  <c r="E1797" i="1"/>
  <c r="D1797" i="1"/>
  <c r="C1797" i="1"/>
  <c r="B1797" i="1"/>
  <c r="A1797" i="1"/>
  <c r="J1796" i="1"/>
  <c r="I1796" i="1"/>
  <c r="H1796" i="1"/>
  <c r="G1796" i="1"/>
  <c r="F1796" i="1"/>
  <c r="E1796" i="1"/>
  <c r="D1796" i="1"/>
  <c r="C1796" i="1"/>
  <c r="B1796" i="1"/>
  <c r="A1796" i="1"/>
  <c r="J1795" i="1"/>
  <c r="I1795" i="1"/>
  <c r="H1795" i="1"/>
  <c r="G1795" i="1"/>
  <c r="F1795" i="1"/>
  <c r="E1795" i="1"/>
  <c r="D1795" i="1"/>
  <c r="C1795" i="1"/>
  <c r="B1795" i="1"/>
  <c r="A1795" i="1"/>
  <c r="J1794" i="1"/>
  <c r="I1794" i="1"/>
  <c r="H1794" i="1"/>
  <c r="G1794" i="1"/>
  <c r="F1794" i="1"/>
  <c r="E1794" i="1"/>
  <c r="D1794" i="1"/>
  <c r="C1794" i="1"/>
  <c r="B1794" i="1"/>
  <c r="A1794" i="1"/>
  <c r="J1793" i="1"/>
  <c r="I1793" i="1"/>
  <c r="H1793" i="1"/>
  <c r="G1793" i="1"/>
  <c r="F1793" i="1"/>
  <c r="E1793" i="1"/>
  <c r="D1793" i="1"/>
  <c r="C1793" i="1"/>
  <c r="B1793" i="1"/>
  <c r="A1793" i="1"/>
  <c r="J1792" i="1"/>
  <c r="I1792" i="1"/>
  <c r="H1792" i="1"/>
  <c r="G1792" i="1"/>
  <c r="F1792" i="1"/>
  <c r="E1792" i="1"/>
  <c r="D1792" i="1"/>
  <c r="C1792" i="1"/>
  <c r="B1792" i="1"/>
  <c r="A1792" i="1"/>
  <c r="J1791" i="1"/>
  <c r="I1791" i="1"/>
  <c r="H1791" i="1"/>
  <c r="G1791" i="1"/>
  <c r="F1791" i="1"/>
  <c r="E1791" i="1"/>
  <c r="D1791" i="1"/>
  <c r="C1791" i="1"/>
  <c r="B1791" i="1"/>
  <c r="A1791" i="1"/>
  <c r="J1790" i="1"/>
  <c r="I1790" i="1"/>
  <c r="H1790" i="1"/>
  <c r="G1790" i="1"/>
  <c r="F1790" i="1"/>
  <c r="E1790" i="1"/>
  <c r="C1790" i="1"/>
  <c r="B1790" i="1"/>
  <c r="A1790" i="1"/>
  <c r="J1789" i="1"/>
  <c r="I1789" i="1"/>
  <c r="H1789" i="1"/>
  <c r="G1789" i="1"/>
  <c r="F1789" i="1"/>
  <c r="E1789" i="1"/>
  <c r="D1789" i="1"/>
  <c r="C1789" i="1"/>
  <c r="B1789" i="1"/>
  <c r="A1789" i="1"/>
  <c r="J1788" i="1"/>
  <c r="I1788" i="1"/>
  <c r="H1788" i="1"/>
  <c r="G1788" i="1"/>
  <c r="F1788" i="1"/>
  <c r="E1788" i="1"/>
  <c r="D1788" i="1"/>
  <c r="C1788" i="1"/>
  <c r="B1788" i="1"/>
  <c r="A1788" i="1"/>
  <c r="J1787" i="1"/>
  <c r="I1787" i="1"/>
  <c r="H1787" i="1"/>
  <c r="G1787" i="1"/>
  <c r="F1787" i="1"/>
  <c r="E1787" i="1"/>
  <c r="C1787" i="1"/>
  <c r="B1787" i="1"/>
  <c r="A1787" i="1"/>
  <c r="J1786" i="1"/>
  <c r="I1786" i="1"/>
  <c r="H1786" i="1"/>
  <c r="G1786" i="1"/>
  <c r="F1786" i="1"/>
  <c r="E1786" i="1"/>
  <c r="C1786" i="1"/>
  <c r="B1786" i="1"/>
  <c r="A1786" i="1"/>
  <c r="J1785" i="1"/>
  <c r="I1785" i="1"/>
  <c r="H1785" i="1"/>
  <c r="G1785" i="1"/>
  <c r="F1785" i="1"/>
  <c r="E1785" i="1"/>
  <c r="C1785" i="1"/>
  <c r="B1785" i="1"/>
  <c r="A1785" i="1"/>
  <c r="J1784" i="1"/>
  <c r="I1784" i="1"/>
  <c r="H1784" i="1"/>
  <c r="G1784" i="1"/>
  <c r="F1784" i="1"/>
  <c r="E1784" i="1"/>
  <c r="C1784" i="1"/>
  <c r="B1784" i="1"/>
  <c r="A1784" i="1"/>
  <c r="J1783" i="1"/>
  <c r="I1783" i="1"/>
  <c r="H1783" i="1"/>
  <c r="G1783" i="1"/>
  <c r="F1783" i="1"/>
  <c r="E1783" i="1"/>
  <c r="D1783" i="1"/>
  <c r="C1783" i="1"/>
  <c r="B1783" i="1"/>
  <c r="A1783" i="1"/>
  <c r="J1782" i="1"/>
  <c r="I1782" i="1"/>
  <c r="H1782" i="1"/>
  <c r="G1782" i="1"/>
  <c r="F1782" i="1"/>
  <c r="E1782" i="1"/>
  <c r="D1782" i="1"/>
  <c r="C1782" i="1"/>
  <c r="B1782" i="1"/>
  <c r="A1782" i="1"/>
  <c r="J1781" i="1"/>
  <c r="I1781" i="1"/>
  <c r="H1781" i="1"/>
  <c r="G1781" i="1"/>
  <c r="F1781" i="1"/>
  <c r="E1781" i="1"/>
  <c r="D1781" i="1"/>
  <c r="C1781" i="1"/>
  <c r="B1781" i="1"/>
  <c r="A1781" i="1"/>
  <c r="J1780" i="1"/>
  <c r="I1780" i="1"/>
  <c r="H1780" i="1"/>
  <c r="G1780" i="1"/>
  <c r="F1780" i="1"/>
  <c r="E1780" i="1"/>
  <c r="D1780" i="1"/>
  <c r="C1780" i="1"/>
  <c r="B1780" i="1"/>
  <c r="A1780" i="1"/>
  <c r="J1779" i="1"/>
  <c r="I1779" i="1"/>
  <c r="H1779" i="1"/>
  <c r="G1779" i="1"/>
  <c r="F1779" i="1"/>
  <c r="E1779" i="1"/>
  <c r="D1779" i="1"/>
  <c r="C1779" i="1"/>
  <c r="B1779" i="1"/>
  <c r="A1779" i="1"/>
  <c r="J1778" i="1"/>
  <c r="I1778" i="1"/>
  <c r="H1778" i="1"/>
  <c r="G1778" i="1"/>
  <c r="F1778" i="1"/>
  <c r="E1778" i="1"/>
  <c r="D1778" i="1"/>
  <c r="C1778" i="1"/>
  <c r="B1778" i="1"/>
  <c r="A1778" i="1"/>
  <c r="J1777" i="1"/>
  <c r="I1777" i="1"/>
  <c r="H1777" i="1"/>
  <c r="G1777" i="1"/>
  <c r="F1777" i="1"/>
  <c r="E1777" i="1"/>
  <c r="D1777" i="1"/>
  <c r="C1777" i="1"/>
  <c r="B1777" i="1"/>
  <c r="A1777" i="1"/>
  <c r="J1776" i="1"/>
  <c r="I1776" i="1"/>
  <c r="H1776" i="1"/>
  <c r="G1776" i="1"/>
  <c r="F1776" i="1"/>
  <c r="E1776" i="1"/>
  <c r="D1776" i="1"/>
  <c r="C1776" i="1"/>
  <c r="B1776" i="1"/>
  <c r="A1776" i="1"/>
  <c r="J1775" i="1"/>
  <c r="I1775" i="1"/>
  <c r="H1775" i="1"/>
  <c r="G1775" i="1"/>
  <c r="F1775" i="1"/>
  <c r="E1775" i="1"/>
  <c r="D1775" i="1"/>
  <c r="C1775" i="1"/>
  <c r="B1775" i="1"/>
  <c r="A1775" i="1"/>
  <c r="J1774" i="1"/>
  <c r="I1774" i="1"/>
  <c r="H1774" i="1"/>
  <c r="G1774" i="1"/>
  <c r="F1774" i="1"/>
  <c r="E1774" i="1"/>
  <c r="D1774" i="1"/>
  <c r="C1774" i="1"/>
  <c r="B1774" i="1"/>
  <c r="A1774" i="1"/>
  <c r="J1773" i="1"/>
  <c r="I1773" i="1"/>
  <c r="H1773" i="1"/>
  <c r="G1773" i="1"/>
  <c r="F1773" i="1"/>
  <c r="E1773" i="1"/>
  <c r="D1773" i="1"/>
  <c r="C1773" i="1"/>
  <c r="B1773" i="1"/>
  <c r="A1773" i="1"/>
  <c r="J1772" i="1"/>
  <c r="I1772" i="1"/>
  <c r="H1772" i="1"/>
  <c r="G1772" i="1"/>
  <c r="F1772" i="1"/>
  <c r="E1772" i="1"/>
  <c r="D1772" i="1"/>
  <c r="C1772" i="1"/>
  <c r="B1772" i="1"/>
  <c r="A1772" i="1"/>
  <c r="J1771" i="1"/>
  <c r="I1771" i="1"/>
  <c r="H1771" i="1"/>
  <c r="G1771" i="1"/>
  <c r="F1771" i="1"/>
  <c r="E1771" i="1"/>
  <c r="D1771" i="1"/>
  <c r="C1771" i="1"/>
  <c r="B1771" i="1"/>
  <c r="A1771" i="1"/>
  <c r="J1770" i="1"/>
  <c r="I1770" i="1"/>
  <c r="H1770" i="1"/>
  <c r="G1770" i="1"/>
  <c r="F1770" i="1"/>
  <c r="E1770" i="1"/>
  <c r="D1770" i="1"/>
  <c r="C1770" i="1"/>
  <c r="B1770" i="1"/>
  <c r="A1770" i="1"/>
  <c r="J1769" i="1"/>
  <c r="I1769" i="1"/>
  <c r="H1769" i="1"/>
  <c r="G1769" i="1"/>
  <c r="F1769" i="1"/>
  <c r="E1769" i="1"/>
  <c r="D1769" i="1"/>
  <c r="C1769" i="1"/>
  <c r="B1769" i="1"/>
  <c r="A1769" i="1"/>
  <c r="J1768" i="1"/>
  <c r="I1768" i="1"/>
  <c r="H1768" i="1"/>
  <c r="G1768" i="1"/>
  <c r="F1768" i="1"/>
  <c r="E1768" i="1"/>
  <c r="D1768" i="1"/>
  <c r="C1768" i="1"/>
  <c r="B1768" i="1"/>
  <c r="A1768" i="1"/>
  <c r="J1767" i="1"/>
  <c r="I1767" i="1"/>
  <c r="H1767" i="1"/>
  <c r="G1767" i="1"/>
  <c r="F1767" i="1"/>
  <c r="E1767" i="1"/>
  <c r="D1767" i="1"/>
  <c r="C1767" i="1"/>
  <c r="B1767" i="1"/>
  <c r="A1767" i="1"/>
  <c r="J1766" i="1"/>
  <c r="I1766" i="1"/>
  <c r="H1766" i="1"/>
  <c r="G1766" i="1"/>
  <c r="F1766" i="1"/>
  <c r="E1766" i="1"/>
  <c r="D1766" i="1"/>
  <c r="C1766" i="1"/>
  <c r="B1766" i="1"/>
  <c r="A1766" i="1"/>
  <c r="J1765" i="1"/>
  <c r="I1765" i="1"/>
  <c r="H1765" i="1"/>
  <c r="G1765" i="1"/>
  <c r="F1765" i="1"/>
  <c r="E1765" i="1"/>
  <c r="D1765" i="1"/>
  <c r="C1765" i="1"/>
  <c r="B1765" i="1"/>
  <c r="A1765" i="1"/>
  <c r="I1764" i="1" l="1"/>
  <c r="I1763" i="1"/>
  <c r="I1762" i="1"/>
  <c r="I1761" i="1"/>
  <c r="I1759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39" i="1"/>
  <c r="I1638" i="1"/>
  <c r="I1637" i="1"/>
  <c r="I1636" i="1"/>
  <c r="I1635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1" i="1"/>
  <c r="I1440" i="1"/>
  <c r="I1439" i="1"/>
  <c r="I1437" i="1"/>
  <c r="I1436" i="1"/>
  <c r="I1434" i="1"/>
  <c r="I1433" i="1"/>
  <c r="I1432" i="1"/>
  <c r="I1431" i="1"/>
  <c r="I1428" i="1"/>
  <c r="I1426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6" i="1"/>
  <c r="I1245" i="1"/>
  <c r="I1244" i="1"/>
  <c r="I1243" i="1"/>
  <c r="I1242" i="1"/>
  <c r="I1241" i="1"/>
  <c r="I1239" i="1"/>
  <c r="I1238" i="1"/>
  <c r="I1237" i="1"/>
  <c r="I1236" i="1"/>
  <c r="I1235" i="1"/>
  <c r="I1234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5" i="1"/>
  <c r="I1214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C1712" i="1" l="1"/>
  <c r="C1681" i="1"/>
  <c r="C1672" i="1"/>
  <c r="C1613" i="1"/>
  <c r="C1544" i="1"/>
  <c r="C1530" i="1"/>
  <c r="C1496" i="1"/>
  <c r="C1487" i="1"/>
  <c r="C1482" i="1"/>
  <c r="C1478" i="1"/>
  <c r="C1468" i="1"/>
  <c r="C1462" i="1"/>
  <c r="C1447" i="1"/>
  <c r="C1446" i="1"/>
  <c r="J1764" i="1"/>
  <c r="G1764" i="1"/>
  <c r="F1764" i="1"/>
  <c r="E1764" i="1"/>
  <c r="D1764" i="1"/>
  <c r="C1764" i="1"/>
  <c r="B1764" i="1"/>
  <c r="A1764" i="1"/>
  <c r="J1763" i="1"/>
  <c r="G1763" i="1"/>
  <c r="F1763" i="1"/>
  <c r="E1763" i="1"/>
  <c r="D1763" i="1"/>
  <c r="C1763" i="1"/>
  <c r="B1763" i="1"/>
  <c r="A1763" i="1"/>
  <c r="J1762" i="1"/>
  <c r="G1762" i="1"/>
  <c r="F1762" i="1"/>
  <c r="E1762" i="1"/>
  <c r="D1762" i="1"/>
  <c r="C1762" i="1"/>
  <c r="B1762" i="1"/>
  <c r="A1762" i="1"/>
  <c r="J1761" i="1"/>
  <c r="G1761" i="1"/>
  <c r="F1761" i="1"/>
  <c r="E1761" i="1"/>
  <c r="D1761" i="1"/>
  <c r="C1761" i="1"/>
  <c r="B1761" i="1"/>
  <c r="A1761" i="1"/>
  <c r="J1760" i="1"/>
  <c r="I1760" i="1"/>
  <c r="H1760" i="1"/>
  <c r="G1760" i="1"/>
  <c r="F1760" i="1"/>
  <c r="E1760" i="1"/>
  <c r="D1760" i="1"/>
  <c r="C1760" i="1"/>
  <c r="B1760" i="1"/>
  <c r="A1760" i="1"/>
  <c r="J1759" i="1"/>
  <c r="G1759" i="1"/>
  <c r="F1759" i="1"/>
  <c r="E1759" i="1"/>
  <c r="D1759" i="1"/>
  <c r="C1759" i="1"/>
  <c r="B1759" i="1"/>
  <c r="A1759" i="1"/>
  <c r="J1758" i="1"/>
  <c r="I1758" i="1"/>
  <c r="H1758" i="1"/>
  <c r="G1758" i="1"/>
  <c r="F1758" i="1"/>
  <c r="E1758" i="1"/>
  <c r="D1758" i="1"/>
  <c r="C1758" i="1"/>
  <c r="B1758" i="1"/>
  <c r="A1758" i="1"/>
  <c r="J1757" i="1"/>
  <c r="I1757" i="1"/>
  <c r="H1757" i="1"/>
  <c r="G1757" i="1"/>
  <c r="F1757" i="1"/>
  <c r="E1757" i="1"/>
  <c r="D1757" i="1"/>
  <c r="C1757" i="1"/>
  <c r="B1757" i="1"/>
  <c r="A1757" i="1"/>
  <c r="J1756" i="1"/>
  <c r="I1756" i="1"/>
  <c r="H1756" i="1"/>
  <c r="G1756" i="1"/>
  <c r="F1756" i="1"/>
  <c r="E1756" i="1"/>
  <c r="D1756" i="1"/>
  <c r="C1756" i="1"/>
  <c r="B1756" i="1"/>
  <c r="A1756" i="1"/>
  <c r="J1755" i="1"/>
  <c r="G1755" i="1"/>
  <c r="F1755" i="1"/>
  <c r="E1755" i="1"/>
  <c r="D1755" i="1"/>
  <c r="C1755" i="1"/>
  <c r="B1755" i="1"/>
  <c r="A1755" i="1"/>
  <c r="J1754" i="1"/>
  <c r="G1754" i="1"/>
  <c r="F1754" i="1"/>
  <c r="E1754" i="1"/>
  <c r="D1754" i="1"/>
  <c r="C1754" i="1"/>
  <c r="B1754" i="1"/>
  <c r="A1754" i="1"/>
  <c r="J1753" i="1"/>
  <c r="G1753" i="1"/>
  <c r="F1753" i="1"/>
  <c r="E1753" i="1"/>
  <c r="D1753" i="1"/>
  <c r="C1753" i="1"/>
  <c r="B1753" i="1"/>
  <c r="A1753" i="1"/>
  <c r="J1752" i="1"/>
  <c r="G1752" i="1"/>
  <c r="F1752" i="1"/>
  <c r="E1752" i="1"/>
  <c r="D1752" i="1"/>
  <c r="C1752" i="1"/>
  <c r="B1752" i="1"/>
  <c r="A1752" i="1"/>
  <c r="J1751" i="1"/>
  <c r="G1751" i="1"/>
  <c r="F1751" i="1"/>
  <c r="E1751" i="1"/>
  <c r="D1751" i="1"/>
  <c r="C1751" i="1"/>
  <c r="B1751" i="1"/>
  <c r="A1751" i="1"/>
  <c r="J1750" i="1"/>
  <c r="G1750" i="1"/>
  <c r="F1750" i="1"/>
  <c r="E1750" i="1"/>
  <c r="D1750" i="1"/>
  <c r="C1750" i="1"/>
  <c r="B1750" i="1"/>
  <c r="A1750" i="1"/>
  <c r="J1749" i="1"/>
  <c r="G1749" i="1"/>
  <c r="F1749" i="1"/>
  <c r="E1749" i="1"/>
  <c r="D1749" i="1"/>
  <c r="C1749" i="1"/>
  <c r="B1749" i="1"/>
  <c r="A1749" i="1"/>
  <c r="J1748" i="1"/>
  <c r="G1748" i="1"/>
  <c r="F1748" i="1"/>
  <c r="E1748" i="1"/>
  <c r="D1748" i="1"/>
  <c r="C1748" i="1"/>
  <c r="B1748" i="1"/>
  <c r="A1748" i="1"/>
  <c r="J1747" i="1"/>
  <c r="G1747" i="1"/>
  <c r="F1747" i="1"/>
  <c r="E1747" i="1"/>
  <c r="D1747" i="1"/>
  <c r="C1747" i="1"/>
  <c r="B1747" i="1"/>
  <c r="A1747" i="1"/>
  <c r="J1746" i="1"/>
  <c r="G1746" i="1"/>
  <c r="F1746" i="1"/>
  <c r="E1746" i="1"/>
  <c r="D1746" i="1"/>
  <c r="C1746" i="1"/>
  <c r="B1746" i="1"/>
  <c r="A1746" i="1"/>
  <c r="J1745" i="1"/>
  <c r="G1745" i="1"/>
  <c r="F1745" i="1"/>
  <c r="E1745" i="1"/>
  <c r="D1745" i="1"/>
  <c r="C1745" i="1"/>
  <c r="B1745" i="1"/>
  <c r="A1745" i="1"/>
  <c r="J1744" i="1"/>
  <c r="G1744" i="1"/>
  <c r="F1744" i="1"/>
  <c r="E1744" i="1"/>
  <c r="D1744" i="1"/>
  <c r="C1744" i="1"/>
  <c r="B1744" i="1"/>
  <c r="A1744" i="1"/>
  <c r="J1743" i="1"/>
  <c r="G1743" i="1"/>
  <c r="F1743" i="1"/>
  <c r="E1743" i="1"/>
  <c r="D1743" i="1"/>
  <c r="C1743" i="1"/>
  <c r="B1743" i="1"/>
  <c r="A1743" i="1"/>
  <c r="J1742" i="1"/>
  <c r="G1742" i="1"/>
  <c r="F1742" i="1"/>
  <c r="E1742" i="1"/>
  <c r="D1742" i="1"/>
  <c r="C1742" i="1"/>
  <c r="B1742" i="1"/>
  <c r="A1742" i="1"/>
  <c r="J1741" i="1"/>
  <c r="G1741" i="1"/>
  <c r="F1741" i="1"/>
  <c r="E1741" i="1"/>
  <c r="D1741" i="1"/>
  <c r="C1741" i="1"/>
  <c r="B1741" i="1"/>
  <c r="A1741" i="1"/>
  <c r="J1740" i="1"/>
  <c r="G1740" i="1"/>
  <c r="F1740" i="1"/>
  <c r="E1740" i="1"/>
  <c r="D1740" i="1"/>
  <c r="C1740" i="1"/>
  <c r="B1740" i="1"/>
  <c r="A1740" i="1"/>
  <c r="J1739" i="1"/>
  <c r="G1739" i="1"/>
  <c r="F1739" i="1"/>
  <c r="E1739" i="1"/>
  <c r="D1739" i="1"/>
  <c r="C1739" i="1"/>
  <c r="B1739" i="1"/>
  <c r="A1739" i="1"/>
  <c r="J1738" i="1"/>
  <c r="G1738" i="1"/>
  <c r="F1738" i="1"/>
  <c r="E1738" i="1"/>
  <c r="D1738" i="1"/>
  <c r="C1738" i="1"/>
  <c r="B1738" i="1"/>
  <c r="A1738" i="1"/>
  <c r="J1737" i="1"/>
  <c r="G1737" i="1"/>
  <c r="F1737" i="1"/>
  <c r="E1737" i="1"/>
  <c r="D1737" i="1"/>
  <c r="C1737" i="1"/>
  <c r="B1737" i="1"/>
  <c r="A1737" i="1"/>
  <c r="J1736" i="1"/>
  <c r="G1736" i="1"/>
  <c r="F1736" i="1"/>
  <c r="E1736" i="1"/>
  <c r="D1736" i="1"/>
  <c r="C1736" i="1"/>
  <c r="B1736" i="1"/>
  <c r="A1736" i="1"/>
  <c r="J1735" i="1"/>
  <c r="G1735" i="1"/>
  <c r="F1735" i="1"/>
  <c r="E1735" i="1"/>
  <c r="D1735" i="1"/>
  <c r="C1735" i="1"/>
  <c r="B1735" i="1"/>
  <c r="A1735" i="1"/>
  <c r="J1734" i="1"/>
  <c r="G1734" i="1"/>
  <c r="F1734" i="1"/>
  <c r="E1734" i="1"/>
  <c r="D1734" i="1"/>
  <c r="C1734" i="1"/>
  <c r="B1734" i="1"/>
  <c r="A1734" i="1"/>
  <c r="J1733" i="1"/>
  <c r="G1733" i="1"/>
  <c r="F1733" i="1"/>
  <c r="E1733" i="1"/>
  <c r="D1733" i="1"/>
  <c r="C1733" i="1"/>
  <c r="B1733" i="1"/>
  <c r="A1733" i="1"/>
  <c r="J1732" i="1"/>
  <c r="G1732" i="1"/>
  <c r="F1732" i="1"/>
  <c r="E1732" i="1"/>
  <c r="D1732" i="1"/>
  <c r="C1732" i="1"/>
  <c r="B1732" i="1"/>
  <c r="A1732" i="1"/>
  <c r="J1731" i="1"/>
  <c r="G1731" i="1"/>
  <c r="F1731" i="1"/>
  <c r="E1731" i="1"/>
  <c r="D1731" i="1"/>
  <c r="C1731" i="1"/>
  <c r="B1731" i="1"/>
  <c r="A1731" i="1"/>
  <c r="J1730" i="1"/>
  <c r="G1730" i="1"/>
  <c r="F1730" i="1"/>
  <c r="E1730" i="1"/>
  <c r="D1730" i="1"/>
  <c r="C1730" i="1"/>
  <c r="B1730" i="1"/>
  <c r="A1730" i="1"/>
  <c r="J1729" i="1"/>
  <c r="G1729" i="1"/>
  <c r="F1729" i="1"/>
  <c r="E1729" i="1"/>
  <c r="D1729" i="1"/>
  <c r="C1729" i="1"/>
  <c r="B1729" i="1"/>
  <c r="A1729" i="1"/>
  <c r="J1728" i="1"/>
  <c r="G1728" i="1"/>
  <c r="F1728" i="1"/>
  <c r="E1728" i="1"/>
  <c r="D1728" i="1"/>
  <c r="C1728" i="1"/>
  <c r="B1728" i="1"/>
  <c r="A1728" i="1"/>
  <c r="J1727" i="1"/>
  <c r="G1727" i="1"/>
  <c r="F1727" i="1"/>
  <c r="E1727" i="1"/>
  <c r="D1727" i="1"/>
  <c r="C1727" i="1"/>
  <c r="B1727" i="1"/>
  <c r="A1727" i="1"/>
  <c r="J1726" i="1"/>
  <c r="G1726" i="1"/>
  <c r="F1726" i="1"/>
  <c r="E1726" i="1"/>
  <c r="D1726" i="1"/>
  <c r="C1726" i="1"/>
  <c r="B1726" i="1"/>
  <c r="A1726" i="1"/>
  <c r="J1725" i="1"/>
  <c r="G1725" i="1"/>
  <c r="F1725" i="1"/>
  <c r="E1725" i="1"/>
  <c r="D1725" i="1"/>
  <c r="C1725" i="1"/>
  <c r="B1725" i="1"/>
  <c r="A1725" i="1"/>
  <c r="J1724" i="1"/>
  <c r="G1724" i="1"/>
  <c r="F1724" i="1"/>
  <c r="E1724" i="1"/>
  <c r="D1724" i="1"/>
  <c r="C1724" i="1"/>
  <c r="B1724" i="1"/>
  <c r="A1724" i="1"/>
  <c r="J1723" i="1"/>
  <c r="G1723" i="1"/>
  <c r="F1723" i="1"/>
  <c r="E1723" i="1"/>
  <c r="D1723" i="1"/>
  <c r="C1723" i="1"/>
  <c r="B1723" i="1"/>
  <c r="A1723" i="1"/>
  <c r="J1722" i="1"/>
  <c r="G1722" i="1"/>
  <c r="F1722" i="1"/>
  <c r="E1722" i="1"/>
  <c r="D1722" i="1"/>
  <c r="C1722" i="1"/>
  <c r="B1722" i="1"/>
  <c r="A1722" i="1"/>
  <c r="J1721" i="1"/>
  <c r="G1721" i="1"/>
  <c r="F1721" i="1"/>
  <c r="E1721" i="1"/>
  <c r="D1721" i="1"/>
  <c r="C1721" i="1"/>
  <c r="B1721" i="1"/>
  <c r="A1721" i="1"/>
  <c r="J1720" i="1"/>
  <c r="G1720" i="1"/>
  <c r="F1720" i="1"/>
  <c r="E1720" i="1"/>
  <c r="D1720" i="1"/>
  <c r="C1720" i="1"/>
  <c r="B1720" i="1"/>
  <c r="A1720" i="1"/>
  <c r="J1719" i="1"/>
  <c r="G1719" i="1"/>
  <c r="F1719" i="1"/>
  <c r="E1719" i="1"/>
  <c r="D1719" i="1"/>
  <c r="C1719" i="1"/>
  <c r="B1719" i="1"/>
  <c r="A1719" i="1"/>
  <c r="J1718" i="1"/>
  <c r="G1718" i="1"/>
  <c r="F1718" i="1"/>
  <c r="E1718" i="1"/>
  <c r="D1718" i="1"/>
  <c r="C1718" i="1"/>
  <c r="B1718" i="1"/>
  <c r="A1718" i="1"/>
  <c r="J1717" i="1"/>
  <c r="G1717" i="1"/>
  <c r="F1717" i="1"/>
  <c r="E1717" i="1"/>
  <c r="D1717" i="1"/>
  <c r="C1717" i="1"/>
  <c r="B1717" i="1"/>
  <c r="A1717" i="1"/>
  <c r="J1716" i="1"/>
  <c r="G1716" i="1"/>
  <c r="F1716" i="1"/>
  <c r="E1716" i="1"/>
  <c r="D1716" i="1"/>
  <c r="C1716" i="1"/>
  <c r="B1716" i="1"/>
  <c r="A1716" i="1"/>
  <c r="J1715" i="1"/>
  <c r="G1715" i="1"/>
  <c r="F1715" i="1"/>
  <c r="E1715" i="1"/>
  <c r="D1715" i="1"/>
  <c r="C1715" i="1"/>
  <c r="B1715" i="1"/>
  <c r="A1715" i="1"/>
  <c r="J1714" i="1"/>
  <c r="G1714" i="1"/>
  <c r="F1714" i="1"/>
  <c r="E1714" i="1"/>
  <c r="D1714" i="1"/>
  <c r="C1714" i="1"/>
  <c r="B1714" i="1"/>
  <c r="A1714" i="1"/>
  <c r="J1713" i="1"/>
  <c r="G1713" i="1"/>
  <c r="F1713" i="1"/>
  <c r="E1713" i="1"/>
  <c r="D1713" i="1"/>
  <c r="C1713" i="1"/>
  <c r="B1713" i="1"/>
  <c r="A1713" i="1"/>
  <c r="J1712" i="1"/>
  <c r="G1712" i="1"/>
  <c r="F1712" i="1"/>
  <c r="E1712" i="1"/>
  <c r="D1712" i="1"/>
  <c r="B1712" i="1"/>
  <c r="A1712" i="1"/>
  <c r="J1711" i="1"/>
  <c r="G1711" i="1"/>
  <c r="F1711" i="1"/>
  <c r="E1711" i="1"/>
  <c r="D1711" i="1"/>
  <c r="C1711" i="1"/>
  <c r="B1711" i="1"/>
  <c r="A1711" i="1"/>
  <c r="J1710" i="1"/>
  <c r="G1710" i="1"/>
  <c r="F1710" i="1"/>
  <c r="E1710" i="1"/>
  <c r="D1710" i="1"/>
  <c r="C1710" i="1"/>
  <c r="B1710" i="1"/>
  <c r="A1710" i="1"/>
  <c r="J1709" i="1"/>
  <c r="G1709" i="1"/>
  <c r="F1709" i="1"/>
  <c r="E1709" i="1"/>
  <c r="D1709" i="1"/>
  <c r="C1709" i="1"/>
  <c r="B1709" i="1"/>
  <c r="A1709" i="1"/>
  <c r="J1708" i="1"/>
  <c r="G1708" i="1"/>
  <c r="F1708" i="1"/>
  <c r="E1708" i="1"/>
  <c r="D1708" i="1"/>
  <c r="C1708" i="1"/>
  <c r="B1708" i="1"/>
  <c r="A1708" i="1"/>
  <c r="J1707" i="1"/>
  <c r="G1707" i="1"/>
  <c r="F1707" i="1"/>
  <c r="E1707" i="1"/>
  <c r="D1707" i="1"/>
  <c r="C1707" i="1"/>
  <c r="B1707" i="1"/>
  <c r="A1707" i="1"/>
  <c r="J1706" i="1"/>
  <c r="G1706" i="1"/>
  <c r="F1706" i="1"/>
  <c r="E1706" i="1"/>
  <c r="D1706" i="1"/>
  <c r="C1706" i="1"/>
  <c r="B1706" i="1"/>
  <c r="A1706" i="1"/>
  <c r="J1705" i="1"/>
  <c r="G1705" i="1"/>
  <c r="F1705" i="1"/>
  <c r="E1705" i="1"/>
  <c r="D1705" i="1"/>
  <c r="C1705" i="1"/>
  <c r="B1705" i="1"/>
  <c r="A1705" i="1"/>
  <c r="J1704" i="1"/>
  <c r="G1704" i="1"/>
  <c r="F1704" i="1"/>
  <c r="E1704" i="1"/>
  <c r="D1704" i="1"/>
  <c r="C1704" i="1"/>
  <c r="B1704" i="1"/>
  <c r="A1704" i="1"/>
  <c r="J1703" i="1"/>
  <c r="G1703" i="1"/>
  <c r="F1703" i="1"/>
  <c r="E1703" i="1"/>
  <c r="D1703" i="1"/>
  <c r="C1703" i="1"/>
  <c r="B1703" i="1"/>
  <c r="A1703" i="1"/>
  <c r="J1702" i="1"/>
  <c r="G1702" i="1"/>
  <c r="F1702" i="1"/>
  <c r="E1702" i="1"/>
  <c r="D1702" i="1"/>
  <c r="C1702" i="1"/>
  <c r="B1702" i="1"/>
  <c r="A1702" i="1"/>
  <c r="J1701" i="1"/>
  <c r="G1701" i="1"/>
  <c r="F1701" i="1"/>
  <c r="E1701" i="1"/>
  <c r="D1701" i="1"/>
  <c r="C1701" i="1"/>
  <c r="B1701" i="1"/>
  <c r="A1701" i="1"/>
  <c r="J1700" i="1"/>
  <c r="G1700" i="1"/>
  <c r="F1700" i="1"/>
  <c r="E1700" i="1"/>
  <c r="D1700" i="1"/>
  <c r="C1700" i="1"/>
  <c r="B1700" i="1"/>
  <c r="A1700" i="1"/>
  <c r="J1699" i="1"/>
  <c r="G1699" i="1"/>
  <c r="F1699" i="1"/>
  <c r="E1699" i="1"/>
  <c r="D1699" i="1"/>
  <c r="C1699" i="1"/>
  <c r="B1699" i="1"/>
  <c r="A1699" i="1"/>
  <c r="J1698" i="1"/>
  <c r="G1698" i="1"/>
  <c r="F1698" i="1"/>
  <c r="E1698" i="1"/>
  <c r="D1698" i="1"/>
  <c r="C1698" i="1"/>
  <c r="B1698" i="1"/>
  <c r="A1698" i="1"/>
  <c r="J1697" i="1"/>
  <c r="G1697" i="1"/>
  <c r="F1697" i="1"/>
  <c r="E1697" i="1"/>
  <c r="D1697" i="1"/>
  <c r="C1697" i="1"/>
  <c r="B1697" i="1"/>
  <c r="A1697" i="1"/>
  <c r="J1696" i="1"/>
  <c r="G1696" i="1"/>
  <c r="F1696" i="1"/>
  <c r="E1696" i="1"/>
  <c r="D1696" i="1"/>
  <c r="C1696" i="1"/>
  <c r="B1696" i="1"/>
  <c r="A1696" i="1"/>
  <c r="J1695" i="1"/>
  <c r="G1695" i="1"/>
  <c r="F1695" i="1"/>
  <c r="E1695" i="1"/>
  <c r="D1695" i="1"/>
  <c r="C1695" i="1"/>
  <c r="B1695" i="1"/>
  <c r="A1695" i="1"/>
  <c r="J1694" i="1"/>
  <c r="G1694" i="1"/>
  <c r="F1694" i="1"/>
  <c r="E1694" i="1"/>
  <c r="D1694" i="1"/>
  <c r="C1694" i="1"/>
  <c r="B1694" i="1"/>
  <c r="A1694" i="1"/>
  <c r="J1693" i="1"/>
  <c r="G1693" i="1"/>
  <c r="F1693" i="1"/>
  <c r="E1693" i="1"/>
  <c r="D1693" i="1"/>
  <c r="C1693" i="1"/>
  <c r="B1693" i="1"/>
  <c r="A1693" i="1"/>
  <c r="J1692" i="1"/>
  <c r="G1692" i="1"/>
  <c r="F1692" i="1"/>
  <c r="E1692" i="1"/>
  <c r="D1692" i="1"/>
  <c r="C1692" i="1"/>
  <c r="B1692" i="1"/>
  <c r="A1692" i="1"/>
  <c r="J1691" i="1"/>
  <c r="G1691" i="1"/>
  <c r="F1691" i="1"/>
  <c r="E1691" i="1"/>
  <c r="D1691" i="1"/>
  <c r="C1691" i="1"/>
  <c r="B1691" i="1"/>
  <c r="A1691" i="1"/>
  <c r="J1690" i="1"/>
  <c r="G1690" i="1"/>
  <c r="F1690" i="1"/>
  <c r="E1690" i="1"/>
  <c r="D1690" i="1"/>
  <c r="C1690" i="1"/>
  <c r="B1690" i="1"/>
  <c r="A1690" i="1"/>
  <c r="J1689" i="1"/>
  <c r="G1689" i="1"/>
  <c r="F1689" i="1"/>
  <c r="E1689" i="1"/>
  <c r="D1689" i="1"/>
  <c r="C1689" i="1"/>
  <c r="B1689" i="1"/>
  <c r="A1689" i="1"/>
  <c r="J1688" i="1"/>
  <c r="G1688" i="1"/>
  <c r="F1688" i="1"/>
  <c r="E1688" i="1"/>
  <c r="D1688" i="1"/>
  <c r="C1688" i="1"/>
  <c r="B1688" i="1"/>
  <c r="A1688" i="1"/>
  <c r="J1687" i="1"/>
  <c r="G1687" i="1"/>
  <c r="F1687" i="1"/>
  <c r="E1687" i="1"/>
  <c r="D1687" i="1"/>
  <c r="C1687" i="1"/>
  <c r="B1687" i="1"/>
  <c r="A1687" i="1"/>
  <c r="J1686" i="1"/>
  <c r="G1686" i="1"/>
  <c r="F1686" i="1"/>
  <c r="E1686" i="1"/>
  <c r="D1686" i="1"/>
  <c r="C1686" i="1"/>
  <c r="B1686" i="1"/>
  <c r="A1686" i="1"/>
  <c r="J1685" i="1"/>
  <c r="G1685" i="1"/>
  <c r="F1685" i="1"/>
  <c r="E1685" i="1"/>
  <c r="D1685" i="1"/>
  <c r="C1685" i="1"/>
  <c r="B1685" i="1"/>
  <c r="A1685" i="1"/>
  <c r="J1684" i="1"/>
  <c r="G1684" i="1"/>
  <c r="F1684" i="1"/>
  <c r="E1684" i="1"/>
  <c r="D1684" i="1"/>
  <c r="C1684" i="1"/>
  <c r="B1684" i="1"/>
  <c r="A1684" i="1"/>
  <c r="J1683" i="1"/>
  <c r="G1683" i="1"/>
  <c r="F1683" i="1"/>
  <c r="E1683" i="1"/>
  <c r="D1683" i="1"/>
  <c r="C1683" i="1"/>
  <c r="B1683" i="1"/>
  <c r="A1683" i="1"/>
  <c r="J1682" i="1"/>
  <c r="G1682" i="1"/>
  <c r="F1682" i="1"/>
  <c r="E1682" i="1"/>
  <c r="D1682" i="1"/>
  <c r="C1682" i="1"/>
  <c r="B1682" i="1"/>
  <c r="A1682" i="1"/>
  <c r="J1681" i="1"/>
  <c r="G1681" i="1"/>
  <c r="F1681" i="1"/>
  <c r="E1681" i="1"/>
  <c r="D1681" i="1"/>
  <c r="B1681" i="1"/>
  <c r="A1681" i="1"/>
  <c r="J1680" i="1"/>
  <c r="G1680" i="1"/>
  <c r="F1680" i="1"/>
  <c r="E1680" i="1"/>
  <c r="D1680" i="1"/>
  <c r="C1680" i="1"/>
  <c r="B1680" i="1"/>
  <c r="A1680" i="1"/>
  <c r="J1679" i="1"/>
  <c r="G1679" i="1"/>
  <c r="F1679" i="1"/>
  <c r="E1679" i="1"/>
  <c r="D1679" i="1"/>
  <c r="C1679" i="1"/>
  <c r="B1679" i="1"/>
  <c r="A1679" i="1"/>
  <c r="J1678" i="1"/>
  <c r="G1678" i="1"/>
  <c r="F1678" i="1"/>
  <c r="E1678" i="1"/>
  <c r="D1678" i="1"/>
  <c r="C1678" i="1"/>
  <c r="B1678" i="1"/>
  <c r="A1678" i="1"/>
  <c r="J1677" i="1"/>
  <c r="G1677" i="1"/>
  <c r="F1677" i="1"/>
  <c r="E1677" i="1"/>
  <c r="D1677" i="1"/>
  <c r="C1677" i="1"/>
  <c r="B1677" i="1"/>
  <c r="A1677" i="1"/>
  <c r="J1676" i="1"/>
  <c r="G1676" i="1"/>
  <c r="F1676" i="1"/>
  <c r="E1676" i="1"/>
  <c r="D1676" i="1"/>
  <c r="C1676" i="1"/>
  <c r="B1676" i="1"/>
  <c r="A1676" i="1"/>
  <c r="J1675" i="1"/>
  <c r="G1675" i="1"/>
  <c r="F1675" i="1"/>
  <c r="E1675" i="1"/>
  <c r="D1675" i="1"/>
  <c r="C1675" i="1"/>
  <c r="B1675" i="1"/>
  <c r="A1675" i="1"/>
  <c r="J1674" i="1"/>
  <c r="G1674" i="1"/>
  <c r="F1674" i="1"/>
  <c r="E1674" i="1"/>
  <c r="D1674" i="1"/>
  <c r="C1674" i="1"/>
  <c r="B1674" i="1"/>
  <c r="A1674" i="1"/>
  <c r="J1673" i="1"/>
  <c r="G1673" i="1"/>
  <c r="F1673" i="1"/>
  <c r="E1673" i="1"/>
  <c r="D1673" i="1"/>
  <c r="C1673" i="1"/>
  <c r="B1673" i="1"/>
  <c r="A1673" i="1"/>
  <c r="J1672" i="1"/>
  <c r="G1672" i="1"/>
  <c r="F1672" i="1"/>
  <c r="E1672" i="1"/>
  <c r="B1672" i="1"/>
  <c r="A1672" i="1"/>
  <c r="J1671" i="1"/>
  <c r="G1671" i="1"/>
  <c r="F1671" i="1"/>
  <c r="E1671" i="1"/>
  <c r="D1671" i="1"/>
  <c r="C1671" i="1"/>
  <c r="B1671" i="1"/>
  <c r="A1671" i="1"/>
  <c r="J1670" i="1"/>
  <c r="G1670" i="1"/>
  <c r="F1670" i="1"/>
  <c r="E1670" i="1"/>
  <c r="D1670" i="1"/>
  <c r="C1670" i="1"/>
  <c r="B1670" i="1"/>
  <c r="A1670" i="1"/>
  <c r="J1669" i="1"/>
  <c r="G1669" i="1"/>
  <c r="F1669" i="1"/>
  <c r="E1669" i="1"/>
  <c r="D1669" i="1"/>
  <c r="C1669" i="1"/>
  <c r="B1669" i="1"/>
  <c r="A1669" i="1"/>
  <c r="J1668" i="1"/>
  <c r="G1668" i="1"/>
  <c r="F1668" i="1"/>
  <c r="E1668" i="1"/>
  <c r="D1668" i="1"/>
  <c r="C1668" i="1"/>
  <c r="B1668" i="1"/>
  <c r="A1668" i="1"/>
  <c r="J1667" i="1"/>
  <c r="G1667" i="1"/>
  <c r="F1667" i="1"/>
  <c r="E1667" i="1"/>
  <c r="D1667" i="1"/>
  <c r="C1667" i="1"/>
  <c r="B1667" i="1"/>
  <c r="A1667" i="1"/>
  <c r="J1666" i="1"/>
  <c r="G1666" i="1"/>
  <c r="F1666" i="1"/>
  <c r="E1666" i="1"/>
  <c r="D1666" i="1"/>
  <c r="C1666" i="1"/>
  <c r="B1666" i="1"/>
  <c r="A1666" i="1"/>
  <c r="J1665" i="1"/>
  <c r="G1665" i="1"/>
  <c r="F1665" i="1"/>
  <c r="E1665" i="1"/>
  <c r="D1665" i="1"/>
  <c r="C1665" i="1"/>
  <c r="B1665" i="1"/>
  <c r="A1665" i="1"/>
  <c r="J1664" i="1"/>
  <c r="G1664" i="1"/>
  <c r="F1664" i="1"/>
  <c r="E1664" i="1"/>
  <c r="D1664" i="1"/>
  <c r="C1664" i="1"/>
  <c r="B1664" i="1"/>
  <c r="A1664" i="1"/>
  <c r="J1663" i="1"/>
  <c r="G1663" i="1"/>
  <c r="F1663" i="1"/>
  <c r="E1663" i="1"/>
  <c r="D1663" i="1"/>
  <c r="C1663" i="1"/>
  <c r="B1663" i="1"/>
  <c r="A1663" i="1"/>
  <c r="J1662" i="1"/>
  <c r="G1662" i="1"/>
  <c r="F1662" i="1"/>
  <c r="E1662" i="1"/>
  <c r="D1662" i="1"/>
  <c r="C1662" i="1"/>
  <c r="B1662" i="1"/>
  <c r="A1662" i="1"/>
  <c r="J1661" i="1"/>
  <c r="G1661" i="1"/>
  <c r="F1661" i="1"/>
  <c r="E1661" i="1"/>
  <c r="D1661" i="1"/>
  <c r="C1661" i="1"/>
  <c r="B1661" i="1"/>
  <c r="A1661" i="1"/>
  <c r="J1660" i="1"/>
  <c r="G1660" i="1"/>
  <c r="F1660" i="1"/>
  <c r="E1660" i="1"/>
  <c r="D1660" i="1"/>
  <c r="C1660" i="1"/>
  <c r="B1660" i="1"/>
  <c r="A1660" i="1"/>
  <c r="J1659" i="1"/>
  <c r="G1659" i="1"/>
  <c r="F1659" i="1"/>
  <c r="E1659" i="1"/>
  <c r="D1659" i="1"/>
  <c r="C1659" i="1"/>
  <c r="B1659" i="1"/>
  <c r="A1659" i="1"/>
  <c r="J1658" i="1"/>
  <c r="G1658" i="1"/>
  <c r="F1658" i="1"/>
  <c r="E1658" i="1"/>
  <c r="D1658" i="1"/>
  <c r="C1658" i="1"/>
  <c r="B1658" i="1"/>
  <c r="A1658" i="1"/>
  <c r="J1657" i="1"/>
  <c r="G1657" i="1"/>
  <c r="F1657" i="1"/>
  <c r="E1657" i="1"/>
  <c r="D1657" i="1"/>
  <c r="C1657" i="1"/>
  <c r="B1657" i="1"/>
  <c r="A1657" i="1"/>
  <c r="J1656" i="1"/>
  <c r="G1656" i="1"/>
  <c r="F1656" i="1"/>
  <c r="E1656" i="1"/>
  <c r="D1656" i="1"/>
  <c r="C1656" i="1"/>
  <c r="B1656" i="1"/>
  <c r="A1656" i="1"/>
  <c r="J1655" i="1"/>
  <c r="G1655" i="1"/>
  <c r="F1655" i="1"/>
  <c r="E1655" i="1"/>
  <c r="D1655" i="1"/>
  <c r="C1655" i="1"/>
  <c r="B1655" i="1"/>
  <c r="A1655" i="1"/>
  <c r="J1654" i="1"/>
  <c r="G1654" i="1"/>
  <c r="F1654" i="1"/>
  <c r="E1654" i="1"/>
  <c r="D1654" i="1"/>
  <c r="C1654" i="1"/>
  <c r="B1654" i="1"/>
  <c r="A1654" i="1"/>
  <c r="J1653" i="1"/>
  <c r="G1653" i="1"/>
  <c r="F1653" i="1"/>
  <c r="E1653" i="1"/>
  <c r="D1653" i="1"/>
  <c r="C1653" i="1"/>
  <c r="B1653" i="1"/>
  <c r="A1653" i="1"/>
  <c r="J1652" i="1"/>
  <c r="G1652" i="1"/>
  <c r="F1652" i="1"/>
  <c r="E1652" i="1"/>
  <c r="D1652" i="1"/>
  <c r="C1652" i="1"/>
  <c r="B1652" i="1"/>
  <c r="A1652" i="1"/>
  <c r="J1651" i="1"/>
  <c r="G1651" i="1"/>
  <c r="F1651" i="1"/>
  <c r="E1651" i="1"/>
  <c r="D1651" i="1"/>
  <c r="C1651" i="1"/>
  <c r="B1651" i="1"/>
  <c r="A1651" i="1"/>
  <c r="J1650" i="1"/>
  <c r="G1650" i="1"/>
  <c r="F1650" i="1"/>
  <c r="E1650" i="1"/>
  <c r="D1650" i="1"/>
  <c r="C1650" i="1"/>
  <c r="B1650" i="1"/>
  <c r="A1650" i="1"/>
  <c r="J1649" i="1"/>
  <c r="G1649" i="1"/>
  <c r="F1649" i="1"/>
  <c r="E1649" i="1"/>
  <c r="D1649" i="1"/>
  <c r="C1649" i="1"/>
  <c r="B1649" i="1"/>
  <c r="A1649" i="1"/>
  <c r="J1648" i="1"/>
  <c r="G1648" i="1"/>
  <c r="F1648" i="1"/>
  <c r="E1648" i="1"/>
  <c r="D1648" i="1"/>
  <c r="C1648" i="1"/>
  <c r="B1648" i="1"/>
  <c r="A1648" i="1"/>
  <c r="J1647" i="1"/>
  <c r="G1647" i="1"/>
  <c r="F1647" i="1"/>
  <c r="E1647" i="1"/>
  <c r="D1647" i="1"/>
  <c r="C1647" i="1"/>
  <c r="B1647" i="1"/>
  <c r="A1647" i="1"/>
  <c r="J1646" i="1"/>
  <c r="G1646" i="1"/>
  <c r="F1646" i="1"/>
  <c r="E1646" i="1"/>
  <c r="D1646" i="1"/>
  <c r="C1646" i="1"/>
  <c r="B1646" i="1"/>
  <c r="A1646" i="1"/>
  <c r="J1645" i="1"/>
  <c r="G1645" i="1"/>
  <c r="F1645" i="1"/>
  <c r="E1645" i="1"/>
  <c r="D1645" i="1"/>
  <c r="C1645" i="1"/>
  <c r="B1645" i="1"/>
  <c r="A1645" i="1"/>
  <c r="J1644" i="1"/>
  <c r="G1644" i="1"/>
  <c r="F1644" i="1"/>
  <c r="E1644" i="1"/>
  <c r="D1644" i="1"/>
  <c r="C1644" i="1"/>
  <c r="B1644" i="1"/>
  <c r="A1644" i="1"/>
  <c r="J1643" i="1"/>
  <c r="G1643" i="1"/>
  <c r="F1643" i="1"/>
  <c r="E1643" i="1"/>
  <c r="D1643" i="1"/>
  <c r="C1643" i="1"/>
  <c r="B1643" i="1"/>
  <c r="A1643" i="1"/>
  <c r="J1642" i="1"/>
  <c r="G1642" i="1"/>
  <c r="F1642" i="1"/>
  <c r="E1642" i="1"/>
  <c r="D1642" i="1"/>
  <c r="C1642" i="1"/>
  <c r="B1642" i="1"/>
  <c r="A1642" i="1"/>
  <c r="J1641" i="1"/>
  <c r="G1641" i="1"/>
  <c r="F1641" i="1"/>
  <c r="E1641" i="1"/>
  <c r="D1641" i="1"/>
  <c r="C1641" i="1"/>
  <c r="B1641" i="1"/>
  <c r="A1641" i="1"/>
  <c r="J1640" i="1"/>
  <c r="I1640" i="1"/>
  <c r="H1640" i="1"/>
  <c r="G1640" i="1"/>
  <c r="F1640" i="1"/>
  <c r="E1640" i="1"/>
  <c r="C1640" i="1"/>
  <c r="B1640" i="1"/>
  <c r="A1640" i="1"/>
  <c r="J1639" i="1"/>
  <c r="G1639" i="1"/>
  <c r="F1639" i="1"/>
  <c r="E1639" i="1"/>
  <c r="D1639" i="1"/>
  <c r="C1639" i="1"/>
  <c r="B1639" i="1"/>
  <c r="A1639" i="1"/>
  <c r="J1638" i="1"/>
  <c r="G1638" i="1"/>
  <c r="F1638" i="1"/>
  <c r="E1638" i="1"/>
  <c r="D1638" i="1"/>
  <c r="C1638" i="1"/>
  <c r="B1638" i="1"/>
  <c r="A1638" i="1"/>
  <c r="J1637" i="1"/>
  <c r="G1637" i="1"/>
  <c r="F1637" i="1"/>
  <c r="E1637" i="1"/>
  <c r="D1637" i="1"/>
  <c r="C1637" i="1"/>
  <c r="B1637" i="1"/>
  <c r="A1637" i="1"/>
  <c r="J1636" i="1"/>
  <c r="G1636" i="1"/>
  <c r="F1636" i="1"/>
  <c r="E1636" i="1"/>
  <c r="D1636" i="1"/>
  <c r="C1636" i="1"/>
  <c r="B1636" i="1"/>
  <c r="A1636" i="1"/>
  <c r="J1635" i="1"/>
  <c r="G1635" i="1"/>
  <c r="F1635" i="1"/>
  <c r="E1635" i="1"/>
  <c r="D1635" i="1"/>
  <c r="C1635" i="1"/>
  <c r="B1635" i="1"/>
  <c r="A1635" i="1"/>
  <c r="J1634" i="1"/>
  <c r="I1634" i="1"/>
  <c r="H1634" i="1"/>
  <c r="G1634" i="1"/>
  <c r="F1634" i="1"/>
  <c r="E1634" i="1"/>
  <c r="C1634" i="1"/>
  <c r="B1634" i="1"/>
  <c r="A1634" i="1"/>
  <c r="J1633" i="1"/>
  <c r="G1633" i="1"/>
  <c r="F1633" i="1"/>
  <c r="E1633" i="1"/>
  <c r="D1633" i="1"/>
  <c r="C1633" i="1"/>
  <c r="B1633" i="1"/>
  <c r="A1633" i="1"/>
  <c r="J1632" i="1"/>
  <c r="G1632" i="1"/>
  <c r="F1632" i="1"/>
  <c r="E1632" i="1"/>
  <c r="D1632" i="1"/>
  <c r="C1632" i="1"/>
  <c r="B1632" i="1"/>
  <c r="A1632" i="1"/>
  <c r="J1631" i="1"/>
  <c r="G1631" i="1"/>
  <c r="F1631" i="1"/>
  <c r="E1631" i="1"/>
  <c r="D1631" i="1"/>
  <c r="C1631" i="1"/>
  <c r="B1631" i="1"/>
  <c r="A1631" i="1"/>
  <c r="J1630" i="1"/>
  <c r="G1630" i="1"/>
  <c r="F1630" i="1"/>
  <c r="E1630" i="1"/>
  <c r="D1630" i="1"/>
  <c r="C1630" i="1"/>
  <c r="B1630" i="1"/>
  <c r="A1630" i="1"/>
  <c r="J1629" i="1"/>
  <c r="G1629" i="1"/>
  <c r="F1629" i="1"/>
  <c r="E1629" i="1"/>
  <c r="D1629" i="1"/>
  <c r="C1629" i="1"/>
  <c r="B1629" i="1"/>
  <c r="A1629" i="1"/>
  <c r="J1628" i="1"/>
  <c r="G1628" i="1"/>
  <c r="F1628" i="1"/>
  <c r="E1628" i="1"/>
  <c r="D1628" i="1"/>
  <c r="C1628" i="1"/>
  <c r="B1628" i="1"/>
  <c r="A1628" i="1"/>
  <c r="J1627" i="1"/>
  <c r="G1627" i="1"/>
  <c r="F1627" i="1"/>
  <c r="E1627" i="1"/>
  <c r="D1627" i="1"/>
  <c r="C1627" i="1"/>
  <c r="B1627" i="1"/>
  <c r="A1627" i="1"/>
  <c r="J1626" i="1"/>
  <c r="G1626" i="1"/>
  <c r="F1626" i="1"/>
  <c r="E1626" i="1"/>
  <c r="D1626" i="1"/>
  <c r="C1626" i="1"/>
  <c r="B1626" i="1"/>
  <c r="A1626" i="1"/>
  <c r="J1625" i="1"/>
  <c r="G1625" i="1"/>
  <c r="F1625" i="1"/>
  <c r="E1625" i="1"/>
  <c r="D1625" i="1"/>
  <c r="C1625" i="1"/>
  <c r="B1625" i="1"/>
  <c r="A1625" i="1"/>
  <c r="J1624" i="1"/>
  <c r="G1624" i="1"/>
  <c r="F1624" i="1"/>
  <c r="E1624" i="1"/>
  <c r="D1624" i="1"/>
  <c r="C1624" i="1"/>
  <c r="B1624" i="1"/>
  <c r="A1624" i="1"/>
  <c r="J1623" i="1"/>
  <c r="G1623" i="1"/>
  <c r="F1623" i="1"/>
  <c r="E1623" i="1"/>
  <c r="D1623" i="1"/>
  <c r="C1623" i="1"/>
  <c r="B1623" i="1"/>
  <c r="A1623" i="1"/>
  <c r="J1622" i="1"/>
  <c r="G1622" i="1"/>
  <c r="F1622" i="1"/>
  <c r="E1622" i="1"/>
  <c r="D1622" i="1"/>
  <c r="C1622" i="1"/>
  <c r="B1622" i="1"/>
  <c r="A1622" i="1"/>
  <c r="J1621" i="1"/>
  <c r="G1621" i="1"/>
  <c r="F1621" i="1"/>
  <c r="E1621" i="1"/>
  <c r="D1621" i="1"/>
  <c r="C1621" i="1"/>
  <c r="B1621" i="1"/>
  <c r="A1621" i="1"/>
  <c r="J1620" i="1"/>
  <c r="G1620" i="1"/>
  <c r="F1620" i="1"/>
  <c r="E1620" i="1"/>
  <c r="D1620" i="1"/>
  <c r="C1620" i="1"/>
  <c r="B1620" i="1"/>
  <c r="A1620" i="1"/>
  <c r="J1619" i="1"/>
  <c r="G1619" i="1"/>
  <c r="F1619" i="1"/>
  <c r="E1619" i="1"/>
  <c r="D1619" i="1"/>
  <c r="C1619" i="1"/>
  <c r="B1619" i="1"/>
  <c r="A1619" i="1"/>
  <c r="J1618" i="1"/>
  <c r="G1618" i="1"/>
  <c r="F1618" i="1"/>
  <c r="E1618" i="1"/>
  <c r="D1618" i="1"/>
  <c r="C1618" i="1"/>
  <c r="B1618" i="1"/>
  <c r="A1618" i="1"/>
  <c r="J1617" i="1"/>
  <c r="G1617" i="1"/>
  <c r="F1617" i="1"/>
  <c r="E1617" i="1"/>
  <c r="D1617" i="1"/>
  <c r="C1617" i="1"/>
  <c r="B1617" i="1"/>
  <c r="A1617" i="1"/>
  <c r="J1616" i="1"/>
  <c r="G1616" i="1"/>
  <c r="F1616" i="1"/>
  <c r="E1616" i="1"/>
  <c r="D1616" i="1"/>
  <c r="C1616" i="1"/>
  <c r="B1616" i="1"/>
  <c r="A1616" i="1"/>
  <c r="J1615" i="1"/>
  <c r="G1615" i="1"/>
  <c r="F1615" i="1"/>
  <c r="E1615" i="1"/>
  <c r="D1615" i="1"/>
  <c r="C1615" i="1"/>
  <c r="B1615" i="1"/>
  <c r="A1615" i="1"/>
  <c r="J1614" i="1"/>
  <c r="G1614" i="1"/>
  <c r="F1614" i="1"/>
  <c r="E1614" i="1"/>
  <c r="D1614" i="1"/>
  <c r="C1614" i="1"/>
  <c r="B1614" i="1"/>
  <c r="A1614" i="1"/>
  <c r="J1613" i="1"/>
  <c r="G1613" i="1"/>
  <c r="F1613" i="1"/>
  <c r="E1613" i="1"/>
  <c r="B1613" i="1"/>
  <c r="A1613" i="1"/>
  <c r="J1612" i="1"/>
  <c r="G1612" i="1"/>
  <c r="F1612" i="1"/>
  <c r="E1612" i="1"/>
  <c r="D1612" i="1"/>
  <c r="C1612" i="1"/>
  <c r="B1612" i="1"/>
  <c r="A1612" i="1"/>
  <c r="J1611" i="1"/>
  <c r="G1611" i="1"/>
  <c r="F1611" i="1"/>
  <c r="E1611" i="1"/>
  <c r="D1611" i="1"/>
  <c r="C1611" i="1"/>
  <c r="B1611" i="1"/>
  <c r="A1611" i="1"/>
  <c r="J1610" i="1"/>
  <c r="G1610" i="1"/>
  <c r="F1610" i="1"/>
  <c r="E1610" i="1"/>
  <c r="D1610" i="1"/>
  <c r="C1610" i="1"/>
  <c r="B1610" i="1"/>
  <c r="A1610" i="1"/>
  <c r="J1609" i="1"/>
  <c r="I1609" i="1"/>
  <c r="H1609" i="1"/>
  <c r="G1609" i="1"/>
  <c r="F1609" i="1"/>
  <c r="E1609" i="1"/>
  <c r="C1609" i="1"/>
  <c r="B1609" i="1"/>
  <c r="A1609" i="1"/>
  <c r="J1608" i="1"/>
  <c r="G1608" i="1"/>
  <c r="F1608" i="1"/>
  <c r="E1608" i="1"/>
  <c r="D1608" i="1"/>
  <c r="C1608" i="1"/>
  <c r="B1608" i="1"/>
  <c r="A1608" i="1"/>
  <c r="J1607" i="1"/>
  <c r="G1607" i="1"/>
  <c r="F1607" i="1"/>
  <c r="E1607" i="1"/>
  <c r="D1607" i="1"/>
  <c r="C1607" i="1"/>
  <c r="B1607" i="1"/>
  <c r="A1607" i="1"/>
  <c r="J1606" i="1"/>
  <c r="G1606" i="1"/>
  <c r="F1606" i="1"/>
  <c r="E1606" i="1"/>
  <c r="D1606" i="1"/>
  <c r="C1606" i="1"/>
  <c r="B1606" i="1"/>
  <c r="A1606" i="1"/>
  <c r="J1605" i="1"/>
  <c r="G1605" i="1"/>
  <c r="F1605" i="1"/>
  <c r="E1605" i="1"/>
  <c r="D1605" i="1"/>
  <c r="C1605" i="1"/>
  <c r="B1605" i="1"/>
  <c r="A1605" i="1"/>
  <c r="J1604" i="1"/>
  <c r="G1604" i="1"/>
  <c r="F1604" i="1"/>
  <c r="E1604" i="1"/>
  <c r="D1604" i="1"/>
  <c r="C1604" i="1"/>
  <c r="B1604" i="1"/>
  <c r="A1604" i="1"/>
  <c r="J1603" i="1"/>
  <c r="G1603" i="1"/>
  <c r="F1603" i="1"/>
  <c r="E1603" i="1"/>
  <c r="D1603" i="1"/>
  <c r="C1603" i="1"/>
  <c r="B1603" i="1"/>
  <c r="A1603" i="1"/>
  <c r="J1602" i="1"/>
  <c r="G1602" i="1"/>
  <c r="F1602" i="1"/>
  <c r="E1602" i="1"/>
  <c r="D1602" i="1"/>
  <c r="C1602" i="1"/>
  <c r="B1602" i="1"/>
  <c r="A1602" i="1"/>
  <c r="J1601" i="1"/>
  <c r="G1601" i="1"/>
  <c r="F1601" i="1"/>
  <c r="E1601" i="1"/>
  <c r="D1601" i="1"/>
  <c r="C1601" i="1"/>
  <c r="B1601" i="1"/>
  <c r="A1601" i="1"/>
  <c r="J1600" i="1"/>
  <c r="G1600" i="1"/>
  <c r="F1600" i="1"/>
  <c r="E1600" i="1"/>
  <c r="D1600" i="1"/>
  <c r="C1600" i="1"/>
  <c r="B1600" i="1"/>
  <c r="A1600" i="1"/>
  <c r="J1599" i="1"/>
  <c r="G1599" i="1"/>
  <c r="F1599" i="1"/>
  <c r="E1599" i="1"/>
  <c r="D1599" i="1"/>
  <c r="C1599" i="1"/>
  <c r="B1599" i="1"/>
  <c r="A1599" i="1"/>
  <c r="J1598" i="1"/>
  <c r="G1598" i="1"/>
  <c r="F1598" i="1"/>
  <c r="E1598" i="1"/>
  <c r="D1598" i="1"/>
  <c r="C1598" i="1"/>
  <c r="B1598" i="1"/>
  <c r="A1598" i="1"/>
  <c r="J1597" i="1"/>
  <c r="G1597" i="1"/>
  <c r="F1597" i="1"/>
  <c r="E1597" i="1"/>
  <c r="D1597" i="1"/>
  <c r="C1597" i="1"/>
  <c r="B1597" i="1"/>
  <c r="A1597" i="1"/>
  <c r="J1596" i="1"/>
  <c r="G1596" i="1"/>
  <c r="F1596" i="1"/>
  <c r="E1596" i="1"/>
  <c r="D1596" i="1"/>
  <c r="C1596" i="1"/>
  <c r="B1596" i="1"/>
  <c r="A1596" i="1"/>
  <c r="J1595" i="1"/>
  <c r="G1595" i="1"/>
  <c r="F1595" i="1"/>
  <c r="E1595" i="1"/>
  <c r="D1595" i="1"/>
  <c r="C1595" i="1"/>
  <c r="B1595" i="1"/>
  <c r="A1595" i="1"/>
  <c r="J1594" i="1"/>
  <c r="G1594" i="1"/>
  <c r="F1594" i="1"/>
  <c r="E1594" i="1"/>
  <c r="D1594" i="1"/>
  <c r="C1594" i="1"/>
  <c r="B1594" i="1"/>
  <c r="A1594" i="1"/>
  <c r="J1593" i="1"/>
  <c r="G1593" i="1"/>
  <c r="F1593" i="1"/>
  <c r="E1593" i="1"/>
  <c r="D1593" i="1"/>
  <c r="C1593" i="1"/>
  <c r="B1593" i="1"/>
  <c r="A1593" i="1"/>
  <c r="J1592" i="1"/>
  <c r="G1592" i="1"/>
  <c r="F1592" i="1"/>
  <c r="E1592" i="1"/>
  <c r="D1592" i="1"/>
  <c r="C1592" i="1"/>
  <c r="B1592" i="1"/>
  <c r="A1592" i="1"/>
  <c r="J1591" i="1"/>
  <c r="I1591" i="1"/>
  <c r="H1591" i="1"/>
  <c r="G1591" i="1"/>
  <c r="F1591" i="1"/>
  <c r="E1591" i="1"/>
  <c r="C1591" i="1"/>
  <c r="B1591" i="1"/>
  <c r="A1591" i="1"/>
  <c r="J1590" i="1"/>
  <c r="G1590" i="1"/>
  <c r="F1590" i="1"/>
  <c r="E1590" i="1"/>
  <c r="D1590" i="1"/>
  <c r="C1590" i="1"/>
  <c r="B1590" i="1"/>
  <c r="A1590" i="1"/>
  <c r="J1589" i="1"/>
  <c r="G1589" i="1"/>
  <c r="F1589" i="1"/>
  <c r="E1589" i="1"/>
  <c r="D1589" i="1"/>
  <c r="C1589" i="1"/>
  <c r="B1589" i="1"/>
  <c r="A1589" i="1"/>
  <c r="J1588" i="1"/>
  <c r="G1588" i="1"/>
  <c r="F1588" i="1"/>
  <c r="E1588" i="1"/>
  <c r="D1588" i="1"/>
  <c r="C1588" i="1"/>
  <c r="B1588" i="1"/>
  <c r="A1588" i="1"/>
  <c r="J1587" i="1"/>
  <c r="G1587" i="1"/>
  <c r="F1587" i="1"/>
  <c r="E1587" i="1"/>
  <c r="D1587" i="1"/>
  <c r="C1587" i="1"/>
  <c r="B1587" i="1"/>
  <c r="A1587" i="1"/>
  <c r="J1586" i="1"/>
  <c r="G1586" i="1"/>
  <c r="F1586" i="1"/>
  <c r="E1586" i="1"/>
  <c r="D1586" i="1"/>
  <c r="C1586" i="1"/>
  <c r="B1586" i="1"/>
  <c r="A1586" i="1"/>
  <c r="J1585" i="1"/>
  <c r="G1585" i="1"/>
  <c r="F1585" i="1"/>
  <c r="E1585" i="1"/>
  <c r="D1585" i="1"/>
  <c r="C1585" i="1"/>
  <c r="B1585" i="1"/>
  <c r="A1585" i="1"/>
  <c r="J1584" i="1"/>
  <c r="G1584" i="1"/>
  <c r="F1584" i="1"/>
  <c r="E1584" i="1"/>
  <c r="D1584" i="1"/>
  <c r="C1584" i="1"/>
  <c r="B1584" i="1"/>
  <c r="A1584" i="1"/>
  <c r="J1583" i="1"/>
  <c r="G1583" i="1"/>
  <c r="F1583" i="1"/>
  <c r="E1583" i="1"/>
  <c r="D1583" i="1"/>
  <c r="C1583" i="1"/>
  <c r="B1583" i="1"/>
  <c r="A1583" i="1"/>
  <c r="J1582" i="1"/>
  <c r="G1582" i="1"/>
  <c r="F1582" i="1"/>
  <c r="E1582" i="1"/>
  <c r="D1582" i="1"/>
  <c r="C1582" i="1"/>
  <c r="B1582" i="1"/>
  <c r="A1582" i="1"/>
  <c r="J1581" i="1"/>
  <c r="G1581" i="1"/>
  <c r="F1581" i="1"/>
  <c r="E1581" i="1"/>
  <c r="D1581" i="1"/>
  <c r="C1581" i="1"/>
  <c r="B1581" i="1"/>
  <c r="A1581" i="1"/>
  <c r="J1580" i="1"/>
  <c r="G1580" i="1"/>
  <c r="F1580" i="1"/>
  <c r="E1580" i="1"/>
  <c r="D1580" i="1"/>
  <c r="C1580" i="1"/>
  <c r="B1580" i="1"/>
  <c r="A1580" i="1"/>
  <c r="J1579" i="1"/>
  <c r="G1579" i="1"/>
  <c r="F1579" i="1"/>
  <c r="E1579" i="1"/>
  <c r="D1579" i="1"/>
  <c r="C1579" i="1"/>
  <c r="B1579" i="1"/>
  <c r="A1579" i="1"/>
  <c r="J1578" i="1"/>
  <c r="G1578" i="1"/>
  <c r="F1578" i="1"/>
  <c r="E1578" i="1"/>
  <c r="D1578" i="1"/>
  <c r="C1578" i="1"/>
  <c r="B1578" i="1"/>
  <c r="A1578" i="1"/>
  <c r="J1577" i="1"/>
  <c r="G1577" i="1"/>
  <c r="F1577" i="1"/>
  <c r="E1577" i="1"/>
  <c r="D1577" i="1"/>
  <c r="C1577" i="1"/>
  <c r="B1577" i="1"/>
  <c r="A1577" i="1"/>
  <c r="J1576" i="1"/>
  <c r="G1576" i="1"/>
  <c r="F1576" i="1"/>
  <c r="E1576" i="1"/>
  <c r="D1576" i="1"/>
  <c r="C1576" i="1"/>
  <c r="B1576" i="1"/>
  <c r="A1576" i="1"/>
  <c r="J1575" i="1"/>
  <c r="G1575" i="1"/>
  <c r="F1575" i="1"/>
  <c r="E1575" i="1"/>
  <c r="D1575" i="1"/>
  <c r="C1575" i="1"/>
  <c r="B1575" i="1"/>
  <c r="A1575" i="1"/>
  <c r="J1574" i="1"/>
  <c r="G1574" i="1"/>
  <c r="F1574" i="1"/>
  <c r="E1574" i="1"/>
  <c r="D1574" i="1"/>
  <c r="C1574" i="1"/>
  <c r="B1574" i="1"/>
  <c r="A1574" i="1"/>
  <c r="J1573" i="1"/>
  <c r="G1573" i="1"/>
  <c r="F1573" i="1"/>
  <c r="E1573" i="1"/>
  <c r="D1573" i="1"/>
  <c r="C1573" i="1"/>
  <c r="B1573" i="1"/>
  <c r="A1573" i="1"/>
  <c r="J1572" i="1"/>
  <c r="G1572" i="1"/>
  <c r="F1572" i="1"/>
  <c r="E1572" i="1"/>
  <c r="D1572" i="1"/>
  <c r="C1572" i="1"/>
  <c r="B1572" i="1"/>
  <c r="A1572" i="1"/>
  <c r="J1571" i="1"/>
  <c r="G1571" i="1"/>
  <c r="F1571" i="1"/>
  <c r="E1571" i="1"/>
  <c r="D1571" i="1"/>
  <c r="C1571" i="1"/>
  <c r="B1571" i="1"/>
  <c r="A1571" i="1"/>
  <c r="J1570" i="1"/>
  <c r="G1570" i="1"/>
  <c r="F1570" i="1"/>
  <c r="E1570" i="1"/>
  <c r="D1570" i="1"/>
  <c r="C1570" i="1"/>
  <c r="B1570" i="1"/>
  <c r="A1570" i="1"/>
  <c r="J1569" i="1"/>
  <c r="G1569" i="1"/>
  <c r="F1569" i="1"/>
  <c r="E1569" i="1"/>
  <c r="D1569" i="1"/>
  <c r="C1569" i="1"/>
  <c r="B1569" i="1"/>
  <c r="A1569" i="1"/>
  <c r="J1568" i="1"/>
  <c r="G1568" i="1"/>
  <c r="F1568" i="1"/>
  <c r="E1568" i="1"/>
  <c r="D1568" i="1"/>
  <c r="C1568" i="1"/>
  <c r="B1568" i="1"/>
  <c r="A1568" i="1"/>
  <c r="J1567" i="1"/>
  <c r="G1567" i="1"/>
  <c r="F1567" i="1"/>
  <c r="E1567" i="1"/>
  <c r="D1567" i="1"/>
  <c r="C1567" i="1"/>
  <c r="B1567" i="1"/>
  <c r="A1567" i="1"/>
  <c r="J1566" i="1"/>
  <c r="G1566" i="1"/>
  <c r="F1566" i="1"/>
  <c r="E1566" i="1"/>
  <c r="D1566" i="1"/>
  <c r="C1566" i="1"/>
  <c r="B1566" i="1"/>
  <c r="A1566" i="1"/>
  <c r="J1565" i="1"/>
  <c r="G1565" i="1"/>
  <c r="F1565" i="1"/>
  <c r="E1565" i="1"/>
  <c r="D1565" i="1"/>
  <c r="C1565" i="1"/>
  <c r="B1565" i="1"/>
  <c r="A1565" i="1"/>
  <c r="J1564" i="1"/>
  <c r="G1564" i="1"/>
  <c r="F1564" i="1"/>
  <c r="E1564" i="1"/>
  <c r="D1564" i="1"/>
  <c r="C1564" i="1"/>
  <c r="B1564" i="1"/>
  <c r="A1564" i="1"/>
  <c r="J1563" i="1"/>
  <c r="G1563" i="1"/>
  <c r="F1563" i="1"/>
  <c r="E1563" i="1"/>
  <c r="D1563" i="1"/>
  <c r="C1563" i="1"/>
  <c r="B1563" i="1"/>
  <c r="A1563" i="1"/>
  <c r="J1562" i="1"/>
  <c r="G1562" i="1"/>
  <c r="F1562" i="1"/>
  <c r="E1562" i="1"/>
  <c r="D1562" i="1"/>
  <c r="C1562" i="1"/>
  <c r="B1562" i="1"/>
  <c r="A1562" i="1"/>
  <c r="J1561" i="1"/>
  <c r="G1561" i="1"/>
  <c r="F1561" i="1"/>
  <c r="E1561" i="1"/>
  <c r="D1561" i="1"/>
  <c r="C1561" i="1"/>
  <c r="B1561" i="1"/>
  <c r="A1561" i="1"/>
  <c r="J1560" i="1"/>
  <c r="G1560" i="1"/>
  <c r="F1560" i="1"/>
  <c r="E1560" i="1"/>
  <c r="D1560" i="1"/>
  <c r="C1560" i="1"/>
  <c r="B1560" i="1"/>
  <c r="A1560" i="1"/>
  <c r="J1559" i="1"/>
  <c r="G1559" i="1"/>
  <c r="F1559" i="1"/>
  <c r="E1559" i="1"/>
  <c r="D1559" i="1"/>
  <c r="C1559" i="1"/>
  <c r="B1559" i="1"/>
  <c r="A1559" i="1"/>
  <c r="J1558" i="1"/>
  <c r="G1558" i="1"/>
  <c r="F1558" i="1"/>
  <c r="E1558" i="1"/>
  <c r="D1558" i="1"/>
  <c r="C1558" i="1"/>
  <c r="B1558" i="1"/>
  <c r="A1558" i="1"/>
  <c r="J1557" i="1"/>
  <c r="G1557" i="1"/>
  <c r="F1557" i="1"/>
  <c r="E1557" i="1"/>
  <c r="D1557" i="1"/>
  <c r="C1557" i="1"/>
  <c r="B1557" i="1"/>
  <c r="A1557" i="1"/>
  <c r="J1556" i="1"/>
  <c r="G1556" i="1"/>
  <c r="F1556" i="1"/>
  <c r="E1556" i="1"/>
  <c r="D1556" i="1"/>
  <c r="C1556" i="1"/>
  <c r="B1556" i="1"/>
  <c r="A1556" i="1"/>
  <c r="J1555" i="1"/>
  <c r="G1555" i="1"/>
  <c r="F1555" i="1"/>
  <c r="E1555" i="1"/>
  <c r="D1555" i="1"/>
  <c r="C1555" i="1"/>
  <c r="B1555" i="1"/>
  <c r="A1555" i="1"/>
  <c r="J1554" i="1"/>
  <c r="G1554" i="1"/>
  <c r="F1554" i="1"/>
  <c r="E1554" i="1"/>
  <c r="D1554" i="1"/>
  <c r="C1554" i="1"/>
  <c r="B1554" i="1"/>
  <c r="A1554" i="1"/>
  <c r="J1553" i="1"/>
  <c r="G1553" i="1"/>
  <c r="F1553" i="1"/>
  <c r="E1553" i="1"/>
  <c r="D1553" i="1"/>
  <c r="C1553" i="1"/>
  <c r="B1553" i="1"/>
  <c r="A1553" i="1"/>
  <c r="J1552" i="1"/>
  <c r="G1552" i="1"/>
  <c r="F1552" i="1"/>
  <c r="E1552" i="1"/>
  <c r="D1552" i="1"/>
  <c r="C1552" i="1"/>
  <c r="B1552" i="1"/>
  <c r="A1552" i="1"/>
  <c r="J1551" i="1"/>
  <c r="G1551" i="1"/>
  <c r="F1551" i="1"/>
  <c r="E1551" i="1"/>
  <c r="D1551" i="1"/>
  <c r="C1551" i="1"/>
  <c r="B1551" i="1"/>
  <c r="A1551" i="1"/>
  <c r="J1550" i="1"/>
  <c r="G1550" i="1"/>
  <c r="F1550" i="1"/>
  <c r="E1550" i="1"/>
  <c r="D1550" i="1"/>
  <c r="C1550" i="1"/>
  <c r="B1550" i="1"/>
  <c r="A1550" i="1"/>
  <c r="J1549" i="1"/>
  <c r="G1549" i="1"/>
  <c r="F1549" i="1"/>
  <c r="E1549" i="1"/>
  <c r="D1549" i="1"/>
  <c r="C1549" i="1"/>
  <c r="B1549" i="1"/>
  <c r="A1549" i="1"/>
  <c r="J1548" i="1"/>
  <c r="G1548" i="1"/>
  <c r="F1548" i="1"/>
  <c r="E1548" i="1"/>
  <c r="D1548" i="1"/>
  <c r="C1548" i="1"/>
  <c r="B1548" i="1"/>
  <c r="A1548" i="1"/>
  <c r="J1547" i="1"/>
  <c r="G1547" i="1"/>
  <c r="F1547" i="1"/>
  <c r="E1547" i="1"/>
  <c r="D1547" i="1"/>
  <c r="C1547" i="1"/>
  <c r="B1547" i="1"/>
  <c r="A1547" i="1"/>
  <c r="J1546" i="1"/>
  <c r="G1546" i="1"/>
  <c r="F1546" i="1"/>
  <c r="E1546" i="1"/>
  <c r="D1546" i="1"/>
  <c r="C1546" i="1"/>
  <c r="B1546" i="1"/>
  <c r="A1546" i="1"/>
  <c r="J1545" i="1"/>
  <c r="G1545" i="1"/>
  <c r="F1545" i="1"/>
  <c r="E1545" i="1"/>
  <c r="D1545" i="1"/>
  <c r="C1545" i="1"/>
  <c r="B1545" i="1"/>
  <c r="A1545" i="1"/>
  <c r="J1544" i="1"/>
  <c r="G1544" i="1"/>
  <c r="F1544" i="1"/>
  <c r="E1544" i="1"/>
  <c r="D1544" i="1"/>
  <c r="B1544" i="1"/>
  <c r="A1544" i="1"/>
  <c r="J1543" i="1"/>
  <c r="G1543" i="1"/>
  <c r="F1543" i="1"/>
  <c r="E1543" i="1"/>
  <c r="D1543" i="1"/>
  <c r="C1543" i="1"/>
  <c r="B1543" i="1"/>
  <c r="A1543" i="1"/>
  <c r="J1542" i="1"/>
  <c r="G1542" i="1"/>
  <c r="F1542" i="1"/>
  <c r="E1542" i="1"/>
  <c r="D1542" i="1"/>
  <c r="C1542" i="1"/>
  <c r="B1542" i="1"/>
  <c r="A1542" i="1"/>
  <c r="J1541" i="1"/>
  <c r="G1541" i="1"/>
  <c r="F1541" i="1"/>
  <c r="E1541" i="1"/>
  <c r="D1541" i="1"/>
  <c r="C1541" i="1"/>
  <c r="B1541" i="1"/>
  <c r="A1541" i="1"/>
  <c r="J1540" i="1"/>
  <c r="G1540" i="1"/>
  <c r="F1540" i="1"/>
  <c r="E1540" i="1"/>
  <c r="D1540" i="1"/>
  <c r="C1540" i="1"/>
  <c r="B1540" i="1"/>
  <c r="A1540" i="1"/>
  <c r="J1539" i="1"/>
  <c r="G1539" i="1"/>
  <c r="F1539" i="1"/>
  <c r="E1539" i="1"/>
  <c r="D1539" i="1"/>
  <c r="C1539" i="1"/>
  <c r="B1539" i="1"/>
  <c r="A1539" i="1"/>
  <c r="J1538" i="1"/>
  <c r="G1538" i="1"/>
  <c r="F1538" i="1"/>
  <c r="E1538" i="1"/>
  <c r="D1538" i="1"/>
  <c r="C1538" i="1"/>
  <c r="B1538" i="1"/>
  <c r="A1538" i="1"/>
  <c r="J1537" i="1"/>
  <c r="G1537" i="1"/>
  <c r="F1537" i="1"/>
  <c r="E1537" i="1"/>
  <c r="D1537" i="1"/>
  <c r="C1537" i="1"/>
  <c r="B1537" i="1"/>
  <c r="A1537" i="1"/>
  <c r="J1536" i="1"/>
  <c r="G1536" i="1"/>
  <c r="F1536" i="1"/>
  <c r="E1536" i="1"/>
  <c r="D1536" i="1"/>
  <c r="C1536" i="1"/>
  <c r="B1536" i="1"/>
  <c r="A1536" i="1"/>
  <c r="J1535" i="1"/>
  <c r="G1535" i="1"/>
  <c r="F1535" i="1"/>
  <c r="E1535" i="1"/>
  <c r="D1535" i="1"/>
  <c r="C1535" i="1"/>
  <c r="B1535" i="1"/>
  <c r="A1535" i="1"/>
  <c r="J1534" i="1"/>
  <c r="G1534" i="1"/>
  <c r="F1534" i="1"/>
  <c r="E1534" i="1"/>
  <c r="D1534" i="1"/>
  <c r="C1534" i="1"/>
  <c r="B1534" i="1"/>
  <c r="A1534" i="1"/>
  <c r="J1533" i="1"/>
  <c r="G1533" i="1"/>
  <c r="F1533" i="1"/>
  <c r="E1533" i="1"/>
  <c r="D1533" i="1"/>
  <c r="C1533" i="1"/>
  <c r="B1533" i="1"/>
  <c r="A1533" i="1"/>
  <c r="J1532" i="1"/>
  <c r="G1532" i="1"/>
  <c r="F1532" i="1"/>
  <c r="E1532" i="1"/>
  <c r="D1532" i="1"/>
  <c r="C1532" i="1"/>
  <c r="B1532" i="1"/>
  <c r="A1532" i="1"/>
  <c r="J1531" i="1"/>
  <c r="G1531" i="1"/>
  <c r="F1531" i="1"/>
  <c r="E1531" i="1"/>
  <c r="D1531" i="1"/>
  <c r="C1531" i="1"/>
  <c r="B1531" i="1"/>
  <c r="A1531" i="1"/>
  <c r="J1530" i="1"/>
  <c r="G1530" i="1"/>
  <c r="F1530" i="1"/>
  <c r="E1530" i="1"/>
  <c r="B1530" i="1"/>
  <c r="A1530" i="1"/>
  <c r="J1529" i="1"/>
  <c r="G1529" i="1"/>
  <c r="F1529" i="1"/>
  <c r="E1529" i="1"/>
  <c r="D1529" i="1"/>
  <c r="C1529" i="1"/>
  <c r="B1529" i="1"/>
  <c r="A1529" i="1"/>
  <c r="J1528" i="1"/>
  <c r="G1528" i="1"/>
  <c r="F1528" i="1"/>
  <c r="E1528" i="1"/>
  <c r="D1528" i="1"/>
  <c r="C1528" i="1"/>
  <c r="B1528" i="1"/>
  <c r="A1528" i="1"/>
  <c r="J1527" i="1"/>
  <c r="G1527" i="1"/>
  <c r="F1527" i="1"/>
  <c r="E1527" i="1"/>
  <c r="D1527" i="1"/>
  <c r="C1527" i="1"/>
  <c r="B1527" i="1"/>
  <c r="A1527" i="1"/>
  <c r="J1526" i="1"/>
  <c r="G1526" i="1"/>
  <c r="F1526" i="1"/>
  <c r="E1526" i="1"/>
  <c r="D1526" i="1"/>
  <c r="C1526" i="1"/>
  <c r="B1526" i="1"/>
  <c r="A1526" i="1"/>
  <c r="J1525" i="1"/>
  <c r="G1525" i="1"/>
  <c r="F1525" i="1"/>
  <c r="E1525" i="1"/>
  <c r="D1525" i="1"/>
  <c r="C1525" i="1"/>
  <c r="B1525" i="1"/>
  <c r="A1525" i="1"/>
  <c r="J1524" i="1"/>
  <c r="G1524" i="1"/>
  <c r="F1524" i="1"/>
  <c r="E1524" i="1"/>
  <c r="D1524" i="1"/>
  <c r="C1524" i="1"/>
  <c r="B1524" i="1"/>
  <c r="A1524" i="1"/>
  <c r="J1523" i="1"/>
  <c r="G1523" i="1"/>
  <c r="F1523" i="1"/>
  <c r="E1523" i="1"/>
  <c r="D1523" i="1"/>
  <c r="C1523" i="1"/>
  <c r="B1523" i="1"/>
  <c r="A1523" i="1"/>
  <c r="J1522" i="1"/>
  <c r="G1522" i="1"/>
  <c r="F1522" i="1"/>
  <c r="E1522" i="1"/>
  <c r="D1522" i="1"/>
  <c r="C1522" i="1"/>
  <c r="B1522" i="1"/>
  <c r="A1522" i="1"/>
  <c r="J1521" i="1"/>
  <c r="G1521" i="1"/>
  <c r="F1521" i="1"/>
  <c r="E1521" i="1"/>
  <c r="D1521" i="1"/>
  <c r="C1521" i="1"/>
  <c r="B1521" i="1"/>
  <c r="A1521" i="1"/>
  <c r="J1520" i="1"/>
  <c r="G1520" i="1"/>
  <c r="F1520" i="1"/>
  <c r="E1520" i="1"/>
  <c r="D1520" i="1"/>
  <c r="C1520" i="1"/>
  <c r="B1520" i="1"/>
  <c r="A1520" i="1"/>
  <c r="J1519" i="1"/>
  <c r="G1519" i="1"/>
  <c r="F1519" i="1"/>
  <c r="E1519" i="1"/>
  <c r="D1519" i="1"/>
  <c r="C1519" i="1"/>
  <c r="B1519" i="1"/>
  <c r="A1519" i="1"/>
  <c r="J1518" i="1"/>
  <c r="G1518" i="1"/>
  <c r="F1518" i="1"/>
  <c r="E1518" i="1"/>
  <c r="D1518" i="1"/>
  <c r="C1518" i="1"/>
  <c r="B1518" i="1"/>
  <c r="A1518" i="1"/>
  <c r="J1517" i="1"/>
  <c r="G1517" i="1"/>
  <c r="F1517" i="1"/>
  <c r="E1517" i="1"/>
  <c r="D1517" i="1"/>
  <c r="C1517" i="1"/>
  <c r="B1517" i="1"/>
  <c r="A1517" i="1"/>
  <c r="J1516" i="1"/>
  <c r="G1516" i="1"/>
  <c r="F1516" i="1"/>
  <c r="E1516" i="1"/>
  <c r="D1516" i="1"/>
  <c r="C1516" i="1"/>
  <c r="B1516" i="1"/>
  <c r="A1516" i="1"/>
  <c r="J1515" i="1"/>
  <c r="G1515" i="1"/>
  <c r="F1515" i="1"/>
  <c r="E1515" i="1"/>
  <c r="D1515" i="1"/>
  <c r="C1515" i="1"/>
  <c r="B1515" i="1"/>
  <c r="A1515" i="1"/>
  <c r="J1514" i="1"/>
  <c r="G1514" i="1"/>
  <c r="F1514" i="1"/>
  <c r="E1514" i="1"/>
  <c r="D1514" i="1"/>
  <c r="C1514" i="1"/>
  <c r="B1514" i="1"/>
  <c r="A1514" i="1"/>
  <c r="J1513" i="1"/>
  <c r="G1513" i="1"/>
  <c r="F1513" i="1"/>
  <c r="E1513" i="1"/>
  <c r="D1513" i="1"/>
  <c r="C1513" i="1"/>
  <c r="B1513" i="1"/>
  <c r="A1513" i="1"/>
  <c r="J1512" i="1"/>
  <c r="G1512" i="1"/>
  <c r="F1512" i="1"/>
  <c r="E1512" i="1"/>
  <c r="D1512" i="1"/>
  <c r="C1512" i="1"/>
  <c r="B1512" i="1"/>
  <c r="A1512" i="1"/>
  <c r="J1511" i="1"/>
  <c r="G1511" i="1"/>
  <c r="F1511" i="1"/>
  <c r="E1511" i="1"/>
  <c r="D1511" i="1"/>
  <c r="C1511" i="1"/>
  <c r="B1511" i="1"/>
  <c r="A1511" i="1"/>
  <c r="J1510" i="1"/>
  <c r="G1510" i="1"/>
  <c r="F1510" i="1"/>
  <c r="E1510" i="1"/>
  <c r="D1510" i="1"/>
  <c r="C1510" i="1"/>
  <c r="B1510" i="1"/>
  <c r="A1510" i="1"/>
  <c r="J1509" i="1"/>
  <c r="G1509" i="1"/>
  <c r="F1509" i="1"/>
  <c r="E1509" i="1"/>
  <c r="D1509" i="1"/>
  <c r="C1509" i="1"/>
  <c r="B1509" i="1"/>
  <c r="A1509" i="1"/>
  <c r="J1508" i="1"/>
  <c r="G1508" i="1"/>
  <c r="F1508" i="1"/>
  <c r="E1508" i="1"/>
  <c r="D1508" i="1"/>
  <c r="C1508" i="1"/>
  <c r="B1508" i="1"/>
  <c r="A1508" i="1"/>
  <c r="J1507" i="1"/>
  <c r="G1507" i="1"/>
  <c r="F1507" i="1"/>
  <c r="E1507" i="1"/>
  <c r="D1507" i="1"/>
  <c r="C1507" i="1"/>
  <c r="B1507" i="1"/>
  <c r="A1507" i="1"/>
  <c r="J1506" i="1"/>
  <c r="G1506" i="1"/>
  <c r="F1506" i="1"/>
  <c r="E1506" i="1"/>
  <c r="D1506" i="1"/>
  <c r="C1506" i="1"/>
  <c r="B1506" i="1"/>
  <c r="A1506" i="1"/>
  <c r="J1505" i="1"/>
  <c r="G1505" i="1"/>
  <c r="F1505" i="1"/>
  <c r="E1505" i="1"/>
  <c r="D1505" i="1"/>
  <c r="C1505" i="1"/>
  <c r="B1505" i="1"/>
  <c r="A1505" i="1"/>
  <c r="J1504" i="1"/>
  <c r="G1504" i="1"/>
  <c r="F1504" i="1"/>
  <c r="E1504" i="1"/>
  <c r="D1504" i="1"/>
  <c r="C1504" i="1"/>
  <c r="B1504" i="1"/>
  <c r="A1504" i="1"/>
  <c r="J1503" i="1"/>
  <c r="G1503" i="1"/>
  <c r="F1503" i="1"/>
  <c r="E1503" i="1"/>
  <c r="D1503" i="1"/>
  <c r="C1503" i="1"/>
  <c r="B1503" i="1"/>
  <c r="A1503" i="1"/>
  <c r="J1502" i="1"/>
  <c r="G1502" i="1"/>
  <c r="F1502" i="1"/>
  <c r="E1502" i="1"/>
  <c r="D1502" i="1"/>
  <c r="C1502" i="1"/>
  <c r="B1502" i="1"/>
  <c r="A1502" i="1"/>
  <c r="J1501" i="1"/>
  <c r="G1501" i="1"/>
  <c r="F1501" i="1"/>
  <c r="E1501" i="1"/>
  <c r="D1501" i="1"/>
  <c r="C1501" i="1"/>
  <c r="B1501" i="1"/>
  <c r="A1501" i="1"/>
  <c r="J1500" i="1"/>
  <c r="G1500" i="1"/>
  <c r="F1500" i="1"/>
  <c r="E1500" i="1"/>
  <c r="D1500" i="1"/>
  <c r="C1500" i="1"/>
  <c r="B1500" i="1"/>
  <c r="A1500" i="1"/>
  <c r="J1499" i="1"/>
  <c r="G1499" i="1"/>
  <c r="F1499" i="1"/>
  <c r="E1499" i="1"/>
  <c r="D1499" i="1"/>
  <c r="C1499" i="1"/>
  <c r="B1499" i="1"/>
  <c r="A1499" i="1"/>
  <c r="J1498" i="1"/>
  <c r="G1498" i="1"/>
  <c r="F1498" i="1"/>
  <c r="E1498" i="1"/>
  <c r="D1498" i="1"/>
  <c r="C1498" i="1"/>
  <c r="B1498" i="1"/>
  <c r="A1498" i="1"/>
  <c r="J1497" i="1"/>
  <c r="G1497" i="1"/>
  <c r="F1497" i="1"/>
  <c r="E1497" i="1"/>
  <c r="D1497" i="1"/>
  <c r="C1497" i="1"/>
  <c r="B1497" i="1"/>
  <c r="A1497" i="1"/>
  <c r="J1496" i="1"/>
  <c r="G1496" i="1"/>
  <c r="F1496" i="1"/>
  <c r="E1496" i="1"/>
  <c r="B1496" i="1"/>
  <c r="A1496" i="1"/>
  <c r="J1495" i="1"/>
  <c r="G1495" i="1"/>
  <c r="F1495" i="1"/>
  <c r="E1495" i="1"/>
  <c r="D1495" i="1"/>
  <c r="C1495" i="1"/>
  <c r="B1495" i="1"/>
  <c r="A1495" i="1"/>
  <c r="J1494" i="1"/>
  <c r="G1494" i="1"/>
  <c r="F1494" i="1"/>
  <c r="E1494" i="1"/>
  <c r="D1494" i="1"/>
  <c r="C1494" i="1"/>
  <c r="B1494" i="1"/>
  <c r="A1494" i="1"/>
  <c r="J1493" i="1"/>
  <c r="G1493" i="1"/>
  <c r="F1493" i="1"/>
  <c r="E1493" i="1"/>
  <c r="D1493" i="1"/>
  <c r="C1493" i="1"/>
  <c r="B1493" i="1"/>
  <c r="A1493" i="1"/>
  <c r="J1492" i="1"/>
  <c r="G1492" i="1"/>
  <c r="F1492" i="1"/>
  <c r="E1492" i="1"/>
  <c r="D1492" i="1"/>
  <c r="C1492" i="1"/>
  <c r="B1492" i="1"/>
  <c r="A1492" i="1"/>
  <c r="J1491" i="1"/>
  <c r="G1491" i="1"/>
  <c r="F1491" i="1"/>
  <c r="E1491" i="1"/>
  <c r="D1491" i="1"/>
  <c r="C1491" i="1"/>
  <c r="B1491" i="1"/>
  <c r="A1491" i="1"/>
  <c r="J1490" i="1"/>
  <c r="G1490" i="1"/>
  <c r="F1490" i="1"/>
  <c r="E1490" i="1"/>
  <c r="D1490" i="1"/>
  <c r="C1490" i="1"/>
  <c r="B1490" i="1"/>
  <c r="A1490" i="1"/>
  <c r="J1489" i="1"/>
  <c r="G1489" i="1"/>
  <c r="F1489" i="1"/>
  <c r="E1489" i="1"/>
  <c r="D1489" i="1"/>
  <c r="C1489" i="1"/>
  <c r="B1489" i="1"/>
  <c r="A1489" i="1"/>
  <c r="J1488" i="1"/>
  <c r="G1488" i="1"/>
  <c r="F1488" i="1"/>
  <c r="E1488" i="1"/>
  <c r="D1488" i="1"/>
  <c r="C1488" i="1"/>
  <c r="B1488" i="1"/>
  <c r="A1488" i="1"/>
  <c r="J1487" i="1"/>
  <c r="G1487" i="1"/>
  <c r="F1487" i="1"/>
  <c r="E1487" i="1"/>
  <c r="B1487" i="1"/>
  <c r="A1487" i="1"/>
  <c r="J1486" i="1"/>
  <c r="G1486" i="1"/>
  <c r="F1486" i="1"/>
  <c r="E1486" i="1"/>
  <c r="D1486" i="1"/>
  <c r="C1486" i="1"/>
  <c r="B1486" i="1"/>
  <c r="A1486" i="1"/>
  <c r="J1485" i="1"/>
  <c r="G1485" i="1"/>
  <c r="F1485" i="1"/>
  <c r="E1485" i="1"/>
  <c r="D1485" i="1"/>
  <c r="C1485" i="1"/>
  <c r="B1485" i="1"/>
  <c r="A1485" i="1"/>
  <c r="J1484" i="1"/>
  <c r="G1484" i="1"/>
  <c r="F1484" i="1"/>
  <c r="E1484" i="1"/>
  <c r="D1484" i="1"/>
  <c r="C1484" i="1"/>
  <c r="B1484" i="1"/>
  <c r="A1484" i="1"/>
  <c r="J1483" i="1"/>
  <c r="G1483" i="1"/>
  <c r="F1483" i="1"/>
  <c r="E1483" i="1"/>
  <c r="D1483" i="1"/>
  <c r="C1483" i="1"/>
  <c r="B1483" i="1"/>
  <c r="A1483" i="1"/>
  <c r="J1482" i="1"/>
  <c r="G1482" i="1"/>
  <c r="F1482" i="1"/>
  <c r="E1482" i="1"/>
  <c r="B1482" i="1"/>
  <c r="A1482" i="1"/>
  <c r="J1481" i="1"/>
  <c r="G1481" i="1"/>
  <c r="F1481" i="1"/>
  <c r="E1481" i="1"/>
  <c r="D1481" i="1"/>
  <c r="C1481" i="1"/>
  <c r="B1481" i="1"/>
  <c r="A1481" i="1"/>
  <c r="J1480" i="1"/>
  <c r="G1480" i="1"/>
  <c r="F1480" i="1"/>
  <c r="E1480" i="1"/>
  <c r="D1480" i="1"/>
  <c r="C1480" i="1"/>
  <c r="B1480" i="1"/>
  <c r="A1480" i="1"/>
  <c r="J1479" i="1"/>
  <c r="G1479" i="1"/>
  <c r="F1479" i="1"/>
  <c r="E1479" i="1"/>
  <c r="D1479" i="1"/>
  <c r="C1479" i="1"/>
  <c r="B1479" i="1"/>
  <c r="A1479" i="1"/>
  <c r="J1478" i="1"/>
  <c r="G1478" i="1"/>
  <c r="F1478" i="1"/>
  <c r="E1478" i="1"/>
  <c r="B1478" i="1"/>
  <c r="A1478" i="1"/>
  <c r="J1477" i="1"/>
  <c r="G1477" i="1"/>
  <c r="F1477" i="1"/>
  <c r="E1477" i="1"/>
  <c r="D1477" i="1"/>
  <c r="C1477" i="1"/>
  <c r="B1477" i="1"/>
  <c r="A1477" i="1"/>
  <c r="J1476" i="1"/>
  <c r="G1476" i="1"/>
  <c r="F1476" i="1"/>
  <c r="E1476" i="1"/>
  <c r="D1476" i="1"/>
  <c r="C1476" i="1"/>
  <c r="B1476" i="1"/>
  <c r="A1476" i="1"/>
  <c r="J1475" i="1"/>
  <c r="G1475" i="1"/>
  <c r="F1475" i="1"/>
  <c r="E1475" i="1"/>
  <c r="D1475" i="1"/>
  <c r="C1475" i="1"/>
  <c r="B1475" i="1"/>
  <c r="A1475" i="1"/>
  <c r="J1474" i="1"/>
  <c r="G1474" i="1"/>
  <c r="F1474" i="1"/>
  <c r="E1474" i="1"/>
  <c r="D1474" i="1"/>
  <c r="C1474" i="1"/>
  <c r="B1474" i="1"/>
  <c r="A1474" i="1"/>
  <c r="J1473" i="1"/>
  <c r="G1473" i="1"/>
  <c r="F1473" i="1"/>
  <c r="E1473" i="1"/>
  <c r="D1473" i="1"/>
  <c r="C1473" i="1"/>
  <c r="B1473" i="1"/>
  <c r="A1473" i="1"/>
  <c r="J1472" i="1"/>
  <c r="G1472" i="1"/>
  <c r="F1472" i="1"/>
  <c r="E1472" i="1"/>
  <c r="D1472" i="1"/>
  <c r="C1472" i="1"/>
  <c r="B1472" i="1"/>
  <c r="A1472" i="1"/>
  <c r="J1471" i="1"/>
  <c r="G1471" i="1"/>
  <c r="F1471" i="1"/>
  <c r="E1471" i="1"/>
  <c r="D1471" i="1"/>
  <c r="C1471" i="1"/>
  <c r="B1471" i="1"/>
  <c r="A1471" i="1"/>
  <c r="J1470" i="1"/>
  <c r="G1470" i="1"/>
  <c r="F1470" i="1"/>
  <c r="E1470" i="1"/>
  <c r="D1470" i="1"/>
  <c r="C1470" i="1"/>
  <c r="B1470" i="1"/>
  <c r="A1470" i="1"/>
  <c r="J1469" i="1"/>
  <c r="G1469" i="1"/>
  <c r="F1469" i="1"/>
  <c r="E1469" i="1"/>
  <c r="D1469" i="1"/>
  <c r="C1469" i="1"/>
  <c r="B1469" i="1"/>
  <c r="A1469" i="1"/>
  <c r="J1468" i="1"/>
  <c r="G1468" i="1"/>
  <c r="F1468" i="1"/>
  <c r="E1468" i="1"/>
  <c r="B1468" i="1"/>
  <c r="A1468" i="1"/>
  <c r="J1467" i="1"/>
  <c r="G1467" i="1"/>
  <c r="F1467" i="1"/>
  <c r="E1467" i="1"/>
  <c r="D1467" i="1"/>
  <c r="C1467" i="1"/>
  <c r="B1467" i="1"/>
  <c r="A1467" i="1"/>
  <c r="J1466" i="1"/>
  <c r="G1466" i="1"/>
  <c r="F1466" i="1"/>
  <c r="E1466" i="1"/>
  <c r="D1466" i="1"/>
  <c r="C1466" i="1"/>
  <c r="B1466" i="1"/>
  <c r="A1466" i="1"/>
  <c r="J1465" i="1"/>
  <c r="G1465" i="1"/>
  <c r="F1465" i="1"/>
  <c r="E1465" i="1"/>
  <c r="D1465" i="1"/>
  <c r="C1465" i="1"/>
  <c r="B1465" i="1"/>
  <c r="A1465" i="1"/>
  <c r="J1464" i="1"/>
  <c r="G1464" i="1"/>
  <c r="F1464" i="1"/>
  <c r="E1464" i="1"/>
  <c r="D1464" i="1"/>
  <c r="C1464" i="1"/>
  <c r="B1464" i="1"/>
  <c r="A1464" i="1"/>
  <c r="J1463" i="1"/>
  <c r="G1463" i="1"/>
  <c r="F1463" i="1"/>
  <c r="E1463" i="1"/>
  <c r="D1463" i="1"/>
  <c r="C1463" i="1"/>
  <c r="B1463" i="1"/>
  <c r="A1463" i="1"/>
  <c r="J1462" i="1"/>
  <c r="G1462" i="1"/>
  <c r="F1462" i="1"/>
  <c r="E1462" i="1"/>
  <c r="D1462" i="1"/>
  <c r="B1462" i="1"/>
  <c r="A1462" i="1"/>
  <c r="J1461" i="1"/>
  <c r="G1461" i="1"/>
  <c r="F1461" i="1"/>
  <c r="E1461" i="1"/>
  <c r="D1461" i="1"/>
  <c r="C1461" i="1"/>
  <c r="B1461" i="1"/>
  <c r="A1461" i="1"/>
  <c r="J1460" i="1"/>
  <c r="G1460" i="1"/>
  <c r="F1460" i="1"/>
  <c r="E1460" i="1"/>
  <c r="D1460" i="1"/>
  <c r="C1460" i="1"/>
  <c r="B1460" i="1"/>
  <c r="A1460" i="1"/>
  <c r="J1459" i="1"/>
  <c r="G1459" i="1"/>
  <c r="F1459" i="1"/>
  <c r="E1459" i="1"/>
  <c r="D1459" i="1"/>
  <c r="C1459" i="1"/>
  <c r="B1459" i="1"/>
  <c r="A1459" i="1"/>
  <c r="J1458" i="1"/>
  <c r="G1458" i="1"/>
  <c r="F1458" i="1"/>
  <c r="E1458" i="1"/>
  <c r="D1458" i="1"/>
  <c r="C1458" i="1"/>
  <c r="B1458" i="1"/>
  <c r="A1458" i="1"/>
  <c r="J1457" i="1"/>
  <c r="G1457" i="1"/>
  <c r="F1457" i="1"/>
  <c r="E1457" i="1"/>
  <c r="D1457" i="1"/>
  <c r="C1457" i="1"/>
  <c r="B1457" i="1"/>
  <c r="A1457" i="1"/>
  <c r="J1456" i="1"/>
  <c r="G1456" i="1"/>
  <c r="F1456" i="1"/>
  <c r="E1456" i="1"/>
  <c r="D1456" i="1"/>
  <c r="C1456" i="1"/>
  <c r="B1456" i="1"/>
  <c r="A1456" i="1"/>
  <c r="J1455" i="1"/>
  <c r="I1455" i="1"/>
  <c r="H1455" i="1"/>
  <c r="G1455" i="1"/>
  <c r="F1455" i="1"/>
  <c r="E1455" i="1"/>
  <c r="D1455" i="1"/>
  <c r="C1455" i="1"/>
  <c r="B1455" i="1"/>
  <c r="A1455" i="1"/>
  <c r="J1454" i="1"/>
  <c r="G1454" i="1"/>
  <c r="F1454" i="1"/>
  <c r="E1454" i="1"/>
  <c r="D1454" i="1"/>
  <c r="C1454" i="1"/>
  <c r="B1454" i="1"/>
  <c r="A1454" i="1"/>
  <c r="J1453" i="1"/>
  <c r="G1453" i="1"/>
  <c r="F1453" i="1"/>
  <c r="E1453" i="1"/>
  <c r="D1453" i="1"/>
  <c r="C1453" i="1"/>
  <c r="B1453" i="1"/>
  <c r="A1453" i="1"/>
  <c r="J1452" i="1"/>
  <c r="G1452" i="1"/>
  <c r="F1452" i="1"/>
  <c r="E1452" i="1"/>
  <c r="D1452" i="1"/>
  <c r="C1452" i="1"/>
  <c r="B1452" i="1"/>
  <c r="A1452" i="1"/>
  <c r="J1451" i="1"/>
  <c r="G1451" i="1"/>
  <c r="F1451" i="1"/>
  <c r="E1451" i="1"/>
  <c r="D1451" i="1"/>
  <c r="C1451" i="1"/>
  <c r="B1451" i="1"/>
  <c r="A1451" i="1"/>
  <c r="J1450" i="1"/>
  <c r="G1450" i="1"/>
  <c r="F1450" i="1"/>
  <c r="E1450" i="1"/>
  <c r="D1450" i="1"/>
  <c r="C1450" i="1"/>
  <c r="B1450" i="1"/>
  <c r="A1450" i="1"/>
  <c r="J1449" i="1"/>
  <c r="G1449" i="1"/>
  <c r="F1449" i="1"/>
  <c r="E1449" i="1"/>
  <c r="D1449" i="1"/>
  <c r="C1449" i="1"/>
  <c r="B1449" i="1"/>
  <c r="A1449" i="1"/>
  <c r="J1448" i="1"/>
  <c r="G1448" i="1"/>
  <c r="F1448" i="1"/>
  <c r="E1448" i="1"/>
  <c r="D1448" i="1"/>
  <c r="C1448" i="1"/>
  <c r="B1448" i="1"/>
  <c r="A1448" i="1"/>
  <c r="J1447" i="1"/>
  <c r="G1447" i="1"/>
  <c r="F1447" i="1"/>
  <c r="E1447" i="1"/>
  <c r="D1447" i="1"/>
  <c r="B1447" i="1"/>
  <c r="A1447" i="1"/>
  <c r="J1446" i="1"/>
  <c r="G1446" i="1"/>
  <c r="F1446" i="1"/>
  <c r="E1446" i="1"/>
  <c r="D1446" i="1"/>
  <c r="B1446" i="1"/>
  <c r="A1446" i="1"/>
  <c r="J1445" i="1"/>
  <c r="G1445" i="1"/>
  <c r="F1445" i="1"/>
  <c r="E1445" i="1"/>
  <c r="D1445" i="1"/>
  <c r="C1445" i="1"/>
  <c r="B1445" i="1"/>
  <c r="A1445" i="1"/>
  <c r="J1444" i="1"/>
  <c r="G1444" i="1"/>
  <c r="F1444" i="1"/>
  <c r="E1444" i="1"/>
  <c r="D1444" i="1"/>
  <c r="C1444" i="1"/>
  <c r="B1444" i="1"/>
  <c r="A1444" i="1"/>
  <c r="J1443" i="1"/>
  <c r="G1443" i="1"/>
  <c r="F1443" i="1"/>
  <c r="E1443" i="1"/>
  <c r="D1443" i="1"/>
  <c r="C1443" i="1"/>
  <c r="B1443" i="1"/>
  <c r="A1443" i="1"/>
  <c r="J1442" i="1"/>
  <c r="I1442" i="1"/>
  <c r="H1442" i="1"/>
  <c r="G1442" i="1"/>
  <c r="F1442" i="1"/>
  <c r="E1442" i="1"/>
  <c r="D1442" i="1"/>
  <c r="C1442" i="1"/>
  <c r="B1442" i="1"/>
  <c r="A1442" i="1"/>
  <c r="J1441" i="1"/>
  <c r="G1441" i="1"/>
  <c r="F1441" i="1"/>
  <c r="E1441" i="1"/>
  <c r="D1441" i="1"/>
  <c r="C1441" i="1"/>
  <c r="B1441" i="1"/>
  <c r="A1441" i="1"/>
  <c r="J1440" i="1"/>
  <c r="G1440" i="1"/>
  <c r="F1440" i="1"/>
  <c r="E1440" i="1"/>
  <c r="D1440" i="1"/>
  <c r="C1440" i="1"/>
  <c r="B1440" i="1"/>
  <c r="A1440" i="1"/>
  <c r="J1439" i="1"/>
  <c r="G1439" i="1"/>
  <c r="F1439" i="1"/>
  <c r="E1439" i="1"/>
  <c r="D1439" i="1"/>
  <c r="C1439" i="1"/>
  <c r="B1439" i="1"/>
  <c r="A1439" i="1"/>
  <c r="J1438" i="1"/>
  <c r="I1438" i="1"/>
  <c r="H1438" i="1"/>
  <c r="G1438" i="1"/>
  <c r="F1438" i="1"/>
  <c r="E1438" i="1"/>
  <c r="D1438" i="1"/>
  <c r="C1438" i="1"/>
  <c r="B1438" i="1"/>
  <c r="A1438" i="1"/>
  <c r="J1437" i="1"/>
  <c r="G1437" i="1"/>
  <c r="F1437" i="1"/>
  <c r="E1437" i="1"/>
  <c r="D1437" i="1"/>
  <c r="C1437" i="1"/>
  <c r="B1437" i="1"/>
  <c r="A1437" i="1"/>
  <c r="J1436" i="1"/>
  <c r="G1436" i="1"/>
  <c r="F1436" i="1"/>
  <c r="E1436" i="1"/>
  <c r="D1436" i="1"/>
  <c r="C1436" i="1"/>
  <c r="B1436" i="1"/>
  <c r="A1436" i="1"/>
  <c r="J1435" i="1"/>
  <c r="I1435" i="1"/>
  <c r="H1435" i="1"/>
  <c r="G1435" i="1"/>
  <c r="F1435" i="1"/>
  <c r="E1435" i="1"/>
  <c r="D1435" i="1"/>
  <c r="C1435" i="1"/>
  <c r="B1435" i="1"/>
  <c r="A1435" i="1"/>
  <c r="J1434" i="1"/>
  <c r="G1434" i="1"/>
  <c r="F1434" i="1"/>
  <c r="E1434" i="1"/>
  <c r="D1434" i="1"/>
  <c r="C1434" i="1"/>
  <c r="B1434" i="1"/>
  <c r="A1434" i="1"/>
  <c r="J1433" i="1"/>
  <c r="G1433" i="1"/>
  <c r="F1433" i="1"/>
  <c r="E1433" i="1"/>
  <c r="D1433" i="1"/>
  <c r="C1433" i="1"/>
  <c r="B1433" i="1"/>
  <c r="A1433" i="1"/>
  <c r="J1432" i="1"/>
  <c r="G1432" i="1"/>
  <c r="F1432" i="1"/>
  <c r="E1432" i="1"/>
  <c r="D1432" i="1"/>
  <c r="C1432" i="1"/>
  <c r="B1432" i="1"/>
  <c r="A1432" i="1"/>
  <c r="J1431" i="1"/>
  <c r="G1431" i="1"/>
  <c r="F1431" i="1"/>
  <c r="E1431" i="1"/>
  <c r="D1431" i="1"/>
  <c r="C1431" i="1"/>
  <c r="B1431" i="1"/>
  <c r="A1431" i="1"/>
  <c r="J1430" i="1"/>
  <c r="I1430" i="1"/>
  <c r="H1430" i="1"/>
  <c r="G1430" i="1"/>
  <c r="F1430" i="1"/>
  <c r="E1430" i="1"/>
  <c r="C1430" i="1"/>
  <c r="B1430" i="1"/>
  <c r="A1430" i="1"/>
  <c r="J1429" i="1"/>
  <c r="I1429" i="1"/>
  <c r="H1429" i="1"/>
  <c r="G1429" i="1"/>
  <c r="F1429" i="1"/>
  <c r="E1429" i="1"/>
  <c r="D1429" i="1"/>
  <c r="C1429" i="1"/>
  <c r="B1429" i="1"/>
  <c r="A1429" i="1"/>
  <c r="J1428" i="1"/>
  <c r="G1428" i="1"/>
  <c r="F1428" i="1"/>
  <c r="E1428" i="1"/>
  <c r="D1428" i="1"/>
  <c r="C1428" i="1"/>
  <c r="B1428" i="1"/>
  <c r="A1428" i="1"/>
  <c r="J1427" i="1"/>
  <c r="I1427" i="1"/>
  <c r="H1427" i="1"/>
  <c r="G1427" i="1"/>
  <c r="F1427" i="1"/>
  <c r="E1427" i="1"/>
  <c r="D1427" i="1"/>
  <c r="C1427" i="1"/>
  <c r="B1427" i="1"/>
  <c r="A1427" i="1"/>
  <c r="J1426" i="1"/>
  <c r="G1426" i="1"/>
  <c r="F1426" i="1"/>
  <c r="E1426" i="1"/>
  <c r="D1426" i="1"/>
  <c r="C1426" i="1"/>
  <c r="B1426" i="1"/>
  <c r="A1426" i="1"/>
  <c r="J1425" i="1"/>
  <c r="I1425" i="1"/>
  <c r="H1425" i="1"/>
  <c r="G1425" i="1"/>
  <c r="F1425" i="1"/>
  <c r="E1425" i="1"/>
  <c r="D1425" i="1"/>
  <c r="C1425" i="1"/>
  <c r="B1425" i="1"/>
  <c r="A1425" i="1"/>
  <c r="J1424" i="1"/>
  <c r="G1424" i="1"/>
  <c r="F1424" i="1"/>
  <c r="E1424" i="1"/>
  <c r="D1424" i="1"/>
  <c r="C1424" i="1"/>
  <c r="B1424" i="1"/>
  <c r="A1424" i="1"/>
  <c r="J1423" i="1"/>
  <c r="G1423" i="1"/>
  <c r="F1423" i="1"/>
  <c r="E1423" i="1"/>
  <c r="D1423" i="1"/>
  <c r="C1423" i="1"/>
  <c r="B1423" i="1"/>
  <c r="A1423" i="1"/>
  <c r="J1422" i="1"/>
  <c r="G1422" i="1"/>
  <c r="F1422" i="1"/>
  <c r="E1422" i="1"/>
  <c r="D1422" i="1"/>
  <c r="C1422" i="1"/>
  <c r="B1422" i="1"/>
  <c r="A1422" i="1"/>
  <c r="J1421" i="1"/>
  <c r="G1421" i="1"/>
  <c r="F1421" i="1"/>
  <c r="E1421" i="1"/>
  <c r="D1421" i="1"/>
  <c r="C1421" i="1"/>
  <c r="B1421" i="1"/>
  <c r="A1421" i="1"/>
  <c r="J1420" i="1"/>
  <c r="G1420" i="1"/>
  <c r="F1420" i="1"/>
  <c r="E1420" i="1"/>
  <c r="D1420" i="1"/>
  <c r="C1420" i="1"/>
  <c r="B1420" i="1"/>
  <c r="A1420" i="1"/>
  <c r="J1419" i="1"/>
  <c r="G1419" i="1"/>
  <c r="F1419" i="1"/>
  <c r="E1419" i="1"/>
  <c r="D1419" i="1"/>
  <c r="C1419" i="1"/>
  <c r="B1419" i="1"/>
  <c r="A1419" i="1"/>
  <c r="J1418" i="1"/>
  <c r="G1418" i="1"/>
  <c r="F1418" i="1"/>
  <c r="E1418" i="1"/>
  <c r="D1418" i="1"/>
  <c r="C1418" i="1"/>
  <c r="B1418" i="1"/>
  <c r="A1418" i="1"/>
  <c r="J1417" i="1"/>
  <c r="G1417" i="1"/>
  <c r="F1417" i="1"/>
  <c r="E1417" i="1"/>
  <c r="D1417" i="1"/>
  <c r="C1417" i="1"/>
  <c r="B1417" i="1"/>
  <c r="A1417" i="1"/>
  <c r="J1416" i="1"/>
  <c r="G1416" i="1"/>
  <c r="F1416" i="1"/>
  <c r="E1416" i="1"/>
  <c r="D1416" i="1"/>
  <c r="C1416" i="1"/>
  <c r="B1416" i="1"/>
  <c r="A1416" i="1"/>
  <c r="J1415" i="1"/>
  <c r="G1415" i="1"/>
  <c r="F1415" i="1"/>
  <c r="E1415" i="1"/>
  <c r="D1415" i="1"/>
  <c r="C1415" i="1"/>
  <c r="B1415" i="1"/>
  <c r="A1415" i="1"/>
  <c r="J1414" i="1"/>
  <c r="G1414" i="1"/>
  <c r="F1414" i="1"/>
  <c r="E1414" i="1"/>
  <c r="D1414" i="1"/>
  <c r="C1414" i="1"/>
  <c r="B1414" i="1"/>
  <c r="A1414" i="1"/>
  <c r="J1413" i="1"/>
  <c r="G1413" i="1"/>
  <c r="F1413" i="1"/>
  <c r="E1413" i="1"/>
  <c r="D1413" i="1"/>
  <c r="C1413" i="1"/>
  <c r="B1413" i="1"/>
  <c r="A1413" i="1"/>
  <c r="J1412" i="1"/>
  <c r="G1412" i="1"/>
  <c r="F1412" i="1"/>
  <c r="E1412" i="1"/>
  <c r="D1412" i="1"/>
  <c r="C1412" i="1"/>
  <c r="B1412" i="1"/>
  <c r="A1412" i="1"/>
  <c r="J1411" i="1"/>
  <c r="G1411" i="1"/>
  <c r="F1411" i="1"/>
  <c r="E1411" i="1"/>
  <c r="D1411" i="1"/>
  <c r="C1411" i="1"/>
  <c r="B1411" i="1"/>
  <c r="A1411" i="1"/>
  <c r="J1410" i="1"/>
  <c r="G1410" i="1"/>
  <c r="F1410" i="1"/>
  <c r="E1410" i="1"/>
  <c r="D1410" i="1"/>
  <c r="C1410" i="1"/>
  <c r="B1410" i="1"/>
  <c r="A1410" i="1"/>
  <c r="J1409" i="1"/>
  <c r="G1409" i="1"/>
  <c r="F1409" i="1"/>
  <c r="E1409" i="1"/>
  <c r="D1409" i="1"/>
  <c r="C1409" i="1"/>
  <c r="B1409" i="1"/>
  <c r="A1409" i="1"/>
  <c r="J1408" i="1"/>
  <c r="G1408" i="1"/>
  <c r="F1408" i="1"/>
  <c r="E1408" i="1"/>
  <c r="D1408" i="1"/>
  <c r="C1408" i="1"/>
  <c r="B1408" i="1"/>
  <c r="A1408" i="1"/>
  <c r="J1407" i="1"/>
  <c r="G1407" i="1"/>
  <c r="F1407" i="1"/>
  <c r="E1407" i="1"/>
  <c r="D1407" i="1"/>
  <c r="C1407" i="1"/>
  <c r="B1407" i="1"/>
  <c r="A1407" i="1"/>
  <c r="J1406" i="1"/>
  <c r="G1406" i="1"/>
  <c r="F1406" i="1"/>
  <c r="E1406" i="1"/>
  <c r="D1406" i="1"/>
  <c r="C1406" i="1"/>
  <c r="B1406" i="1"/>
  <c r="A1406" i="1"/>
  <c r="J1405" i="1"/>
  <c r="G1405" i="1"/>
  <c r="F1405" i="1"/>
  <c r="E1405" i="1"/>
  <c r="D1405" i="1"/>
  <c r="C1405" i="1"/>
  <c r="B1405" i="1"/>
  <c r="A1405" i="1"/>
  <c r="J1404" i="1"/>
  <c r="G1404" i="1"/>
  <c r="F1404" i="1"/>
  <c r="E1404" i="1"/>
  <c r="D1404" i="1"/>
  <c r="C1404" i="1"/>
  <c r="B1404" i="1"/>
  <c r="A1404" i="1"/>
  <c r="J1403" i="1"/>
  <c r="G1403" i="1"/>
  <c r="F1403" i="1"/>
  <c r="E1403" i="1"/>
  <c r="D1403" i="1"/>
  <c r="C1403" i="1"/>
  <c r="B1403" i="1"/>
  <c r="A1403" i="1"/>
  <c r="J1402" i="1"/>
  <c r="G1402" i="1"/>
  <c r="F1402" i="1"/>
  <c r="E1402" i="1"/>
  <c r="D1402" i="1"/>
  <c r="C1402" i="1"/>
  <c r="B1402" i="1"/>
  <c r="A1402" i="1"/>
  <c r="J1401" i="1"/>
  <c r="G1401" i="1"/>
  <c r="F1401" i="1"/>
  <c r="E1401" i="1"/>
  <c r="D1401" i="1"/>
  <c r="C1401" i="1"/>
  <c r="B1401" i="1"/>
  <c r="A1401" i="1"/>
  <c r="J1400" i="1"/>
  <c r="G1400" i="1"/>
  <c r="F1400" i="1"/>
  <c r="E1400" i="1"/>
  <c r="D1400" i="1"/>
  <c r="C1400" i="1"/>
  <c r="B1400" i="1"/>
  <c r="A1400" i="1"/>
  <c r="J1399" i="1"/>
  <c r="G1399" i="1"/>
  <c r="F1399" i="1"/>
  <c r="E1399" i="1"/>
  <c r="D1399" i="1"/>
  <c r="C1399" i="1"/>
  <c r="B1399" i="1"/>
  <c r="A1399" i="1"/>
  <c r="J1398" i="1"/>
  <c r="G1398" i="1"/>
  <c r="F1398" i="1"/>
  <c r="E1398" i="1"/>
  <c r="D1398" i="1"/>
  <c r="C1398" i="1"/>
  <c r="B1398" i="1"/>
  <c r="A1398" i="1"/>
  <c r="J1397" i="1"/>
  <c r="G1397" i="1"/>
  <c r="F1397" i="1"/>
  <c r="E1397" i="1"/>
  <c r="D1397" i="1"/>
  <c r="C1397" i="1"/>
  <c r="B1397" i="1"/>
  <c r="A1397" i="1"/>
  <c r="J1396" i="1"/>
  <c r="G1396" i="1"/>
  <c r="F1396" i="1"/>
  <c r="E1396" i="1"/>
  <c r="D1396" i="1"/>
  <c r="C1396" i="1"/>
  <c r="B1396" i="1"/>
  <c r="A1396" i="1"/>
  <c r="J1395" i="1"/>
  <c r="G1395" i="1"/>
  <c r="F1395" i="1"/>
  <c r="E1395" i="1"/>
  <c r="D1395" i="1"/>
  <c r="C1395" i="1"/>
  <c r="B1395" i="1"/>
  <c r="A1395" i="1"/>
  <c r="J1394" i="1"/>
  <c r="G1394" i="1"/>
  <c r="F1394" i="1"/>
  <c r="E1394" i="1"/>
  <c r="D1394" i="1"/>
  <c r="C1394" i="1"/>
  <c r="B1394" i="1"/>
  <c r="A1394" i="1"/>
  <c r="J1393" i="1"/>
  <c r="G1393" i="1"/>
  <c r="F1393" i="1"/>
  <c r="E1393" i="1"/>
  <c r="D1393" i="1"/>
  <c r="C1393" i="1"/>
  <c r="B1393" i="1"/>
  <c r="A1393" i="1"/>
  <c r="J1392" i="1"/>
  <c r="G1392" i="1"/>
  <c r="F1392" i="1"/>
  <c r="E1392" i="1"/>
  <c r="D1392" i="1"/>
  <c r="C1392" i="1"/>
  <c r="B1392" i="1"/>
  <c r="A1392" i="1"/>
  <c r="J1391" i="1"/>
  <c r="G1391" i="1"/>
  <c r="F1391" i="1"/>
  <c r="E1391" i="1"/>
  <c r="D1391" i="1"/>
  <c r="C1391" i="1"/>
  <c r="B1391" i="1"/>
  <c r="A1391" i="1"/>
  <c r="J1390" i="1"/>
  <c r="G1390" i="1"/>
  <c r="F1390" i="1"/>
  <c r="E1390" i="1"/>
  <c r="D1390" i="1"/>
  <c r="C1390" i="1"/>
  <c r="B1390" i="1"/>
  <c r="A1390" i="1"/>
  <c r="J1389" i="1"/>
  <c r="G1389" i="1"/>
  <c r="F1389" i="1"/>
  <c r="E1389" i="1"/>
  <c r="D1389" i="1"/>
  <c r="C1389" i="1"/>
  <c r="B1389" i="1"/>
  <c r="A1389" i="1"/>
  <c r="J1388" i="1"/>
  <c r="G1388" i="1"/>
  <c r="F1388" i="1"/>
  <c r="E1388" i="1"/>
  <c r="D1388" i="1"/>
  <c r="C1388" i="1"/>
  <c r="B1388" i="1"/>
  <c r="A1388" i="1"/>
  <c r="J1387" i="1"/>
  <c r="G1387" i="1"/>
  <c r="F1387" i="1"/>
  <c r="E1387" i="1"/>
  <c r="D1387" i="1"/>
  <c r="C1387" i="1"/>
  <c r="B1387" i="1"/>
  <c r="A1387" i="1"/>
  <c r="J1386" i="1"/>
  <c r="G1386" i="1"/>
  <c r="F1386" i="1"/>
  <c r="E1386" i="1"/>
  <c r="D1386" i="1"/>
  <c r="C1386" i="1"/>
  <c r="B1386" i="1"/>
  <c r="A1386" i="1"/>
  <c r="J1385" i="1"/>
  <c r="I1385" i="1"/>
  <c r="H1385" i="1"/>
  <c r="G1385" i="1"/>
  <c r="F1385" i="1"/>
  <c r="E1385" i="1"/>
  <c r="D1385" i="1"/>
  <c r="C1385" i="1"/>
  <c r="B1385" i="1"/>
  <c r="A1385" i="1"/>
  <c r="J1384" i="1"/>
  <c r="G1384" i="1"/>
  <c r="F1384" i="1"/>
  <c r="E1384" i="1"/>
  <c r="D1384" i="1"/>
  <c r="C1384" i="1"/>
  <c r="B1384" i="1"/>
  <c r="A1384" i="1"/>
  <c r="J1383" i="1"/>
  <c r="G1383" i="1"/>
  <c r="F1383" i="1"/>
  <c r="E1383" i="1"/>
  <c r="D1383" i="1"/>
  <c r="C1383" i="1"/>
  <c r="B1383" i="1"/>
  <c r="A1383" i="1"/>
  <c r="J1382" i="1"/>
  <c r="G1382" i="1"/>
  <c r="F1382" i="1"/>
  <c r="E1382" i="1"/>
  <c r="D1382" i="1"/>
  <c r="C1382" i="1"/>
  <c r="B1382" i="1"/>
  <c r="A1382" i="1"/>
  <c r="J1381" i="1"/>
  <c r="G1381" i="1"/>
  <c r="F1381" i="1"/>
  <c r="E1381" i="1"/>
  <c r="D1381" i="1"/>
  <c r="C1381" i="1"/>
  <c r="B1381" i="1"/>
  <c r="A1381" i="1"/>
  <c r="J1380" i="1"/>
  <c r="G1380" i="1"/>
  <c r="F1380" i="1"/>
  <c r="E1380" i="1"/>
  <c r="D1380" i="1"/>
  <c r="C1380" i="1"/>
  <c r="B1380" i="1"/>
  <c r="A1380" i="1"/>
  <c r="J1379" i="1"/>
  <c r="G1379" i="1"/>
  <c r="F1379" i="1"/>
  <c r="E1379" i="1"/>
  <c r="D1379" i="1"/>
  <c r="C1379" i="1"/>
  <c r="B1379" i="1"/>
  <c r="A1379" i="1"/>
  <c r="J1378" i="1"/>
  <c r="G1378" i="1"/>
  <c r="F1378" i="1"/>
  <c r="E1378" i="1"/>
  <c r="D1378" i="1"/>
  <c r="C1378" i="1"/>
  <c r="B1378" i="1"/>
  <c r="A1378" i="1"/>
  <c r="J1377" i="1"/>
  <c r="G1377" i="1"/>
  <c r="F1377" i="1"/>
  <c r="E1377" i="1"/>
  <c r="D1377" i="1"/>
  <c r="C1377" i="1"/>
  <c r="B1377" i="1"/>
  <c r="A1377" i="1"/>
  <c r="J1376" i="1"/>
  <c r="G1376" i="1"/>
  <c r="F1376" i="1"/>
  <c r="E1376" i="1"/>
  <c r="D1376" i="1"/>
  <c r="C1376" i="1"/>
  <c r="B1376" i="1"/>
  <c r="A1376" i="1"/>
  <c r="J1375" i="1"/>
  <c r="G1375" i="1"/>
  <c r="F1375" i="1"/>
  <c r="E1375" i="1"/>
  <c r="D1375" i="1"/>
  <c r="C1375" i="1"/>
  <c r="B1375" i="1"/>
  <c r="A1375" i="1"/>
  <c r="J1374" i="1"/>
  <c r="G1374" i="1"/>
  <c r="F1374" i="1"/>
  <c r="E1374" i="1"/>
  <c r="D1374" i="1"/>
  <c r="C1374" i="1"/>
  <c r="B1374" i="1"/>
  <c r="A1374" i="1"/>
  <c r="J1373" i="1"/>
  <c r="G1373" i="1"/>
  <c r="F1373" i="1"/>
  <c r="E1373" i="1"/>
  <c r="D1373" i="1"/>
  <c r="C1373" i="1"/>
  <c r="B1373" i="1"/>
  <c r="A1373" i="1"/>
  <c r="J1372" i="1"/>
  <c r="I1372" i="1"/>
  <c r="H1372" i="1"/>
  <c r="G1372" i="1"/>
  <c r="F1372" i="1"/>
  <c r="E1372" i="1"/>
  <c r="D1372" i="1"/>
  <c r="C1372" i="1"/>
  <c r="B1372" i="1"/>
  <c r="A1372" i="1"/>
  <c r="J1371" i="1"/>
  <c r="G1371" i="1"/>
  <c r="F1371" i="1"/>
  <c r="E1371" i="1"/>
  <c r="D1371" i="1"/>
  <c r="C1371" i="1"/>
  <c r="B1371" i="1"/>
  <c r="A1371" i="1"/>
  <c r="J1370" i="1"/>
  <c r="G1370" i="1"/>
  <c r="F1370" i="1"/>
  <c r="E1370" i="1"/>
  <c r="D1370" i="1"/>
  <c r="C1370" i="1"/>
  <c r="B1370" i="1"/>
  <c r="A1370" i="1"/>
  <c r="J1369" i="1"/>
  <c r="G1369" i="1"/>
  <c r="F1369" i="1"/>
  <c r="E1369" i="1"/>
  <c r="D1369" i="1"/>
  <c r="C1369" i="1"/>
  <c r="B1369" i="1"/>
  <c r="A1369" i="1"/>
  <c r="J1368" i="1"/>
  <c r="G1368" i="1"/>
  <c r="F1368" i="1"/>
  <c r="E1368" i="1"/>
  <c r="D1368" i="1"/>
  <c r="C1368" i="1"/>
  <c r="B1368" i="1"/>
  <c r="A1368" i="1"/>
  <c r="J1367" i="1"/>
  <c r="G1367" i="1"/>
  <c r="F1367" i="1"/>
  <c r="E1367" i="1"/>
  <c r="D1367" i="1"/>
  <c r="C1367" i="1"/>
  <c r="B1367" i="1"/>
  <c r="A1367" i="1"/>
  <c r="J1366" i="1"/>
  <c r="G1366" i="1"/>
  <c r="F1366" i="1"/>
  <c r="E1366" i="1"/>
  <c r="D1366" i="1"/>
  <c r="C1366" i="1"/>
  <c r="B1366" i="1"/>
  <c r="A1366" i="1"/>
  <c r="J1365" i="1"/>
  <c r="G1365" i="1"/>
  <c r="F1365" i="1"/>
  <c r="E1365" i="1"/>
  <c r="D1365" i="1"/>
  <c r="C1365" i="1"/>
  <c r="B1365" i="1"/>
  <c r="A1365" i="1"/>
  <c r="J1364" i="1"/>
  <c r="G1364" i="1"/>
  <c r="F1364" i="1"/>
  <c r="E1364" i="1"/>
  <c r="D1364" i="1"/>
  <c r="C1364" i="1"/>
  <c r="B1364" i="1"/>
  <c r="A1364" i="1"/>
  <c r="J1363" i="1"/>
  <c r="G1363" i="1"/>
  <c r="F1363" i="1"/>
  <c r="E1363" i="1"/>
  <c r="D1363" i="1"/>
  <c r="C1363" i="1"/>
  <c r="B1363" i="1"/>
  <c r="A1363" i="1"/>
  <c r="J1362" i="1"/>
  <c r="G1362" i="1"/>
  <c r="F1362" i="1"/>
  <c r="E1362" i="1"/>
  <c r="D1362" i="1"/>
  <c r="C1362" i="1"/>
  <c r="B1362" i="1"/>
  <c r="A1362" i="1"/>
  <c r="J1361" i="1"/>
  <c r="G1361" i="1"/>
  <c r="F1361" i="1"/>
  <c r="E1361" i="1"/>
  <c r="D1361" i="1"/>
  <c r="C1361" i="1"/>
  <c r="B1361" i="1"/>
  <c r="A1361" i="1"/>
  <c r="J1360" i="1"/>
  <c r="G1360" i="1"/>
  <c r="F1360" i="1"/>
  <c r="E1360" i="1"/>
  <c r="D1360" i="1"/>
  <c r="C1360" i="1"/>
  <c r="B1360" i="1"/>
  <c r="A1360" i="1"/>
  <c r="J1359" i="1"/>
  <c r="G1359" i="1"/>
  <c r="F1359" i="1"/>
  <c r="E1359" i="1"/>
  <c r="D1359" i="1"/>
  <c r="C1359" i="1"/>
  <c r="B1359" i="1"/>
  <c r="A1359" i="1"/>
  <c r="J1358" i="1"/>
  <c r="G1358" i="1"/>
  <c r="F1358" i="1"/>
  <c r="E1358" i="1"/>
  <c r="D1358" i="1"/>
  <c r="C1358" i="1"/>
  <c r="B1358" i="1"/>
  <c r="A1358" i="1"/>
  <c r="J1357" i="1"/>
  <c r="G1357" i="1"/>
  <c r="F1357" i="1"/>
  <c r="E1357" i="1"/>
  <c r="D1357" i="1"/>
  <c r="C1357" i="1"/>
  <c r="B1357" i="1"/>
  <c r="A1357" i="1"/>
  <c r="J1356" i="1"/>
  <c r="G1356" i="1"/>
  <c r="F1356" i="1"/>
  <c r="E1356" i="1"/>
  <c r="D1356" i="1"/>
  <c r="C1356" i="1"/>
  <c r="B1356" i="1"/>
  <c r="A1356" i="1"/>
  <c r="J1355" i="1"/>
  <c r="G1355" i="1"/>
  <c r="F1355" i="1"/>
  <c r="E1355" i="1"/>
  <c r="D1355" i="1"/>
  <c r="C1355" i="1"/>
  <c r="B1355" i="1"/>
  <c r="A1355" i="1"/>
  <c r="J1354" i="1"/>
  <c r="G1354" i="1"/>
  <c r="F1354" i="1"/>
  <c r="E1354" i="1"/>
  <c r="D1354" i="1"/>
  <c r="C1354" i="1"/>
  <c r="B1354" i="1"/>
  <c r="A1354" i="1"/>
  <c r="J1353" i="1"/>
  <c r="G1353" i="1"/>
  <c r="F1353" i="1"/>
  <c r="E1353" i="1"/>
  <c r="D1353" i="1"/>
  <c r="C1353" i="1"/>
  <c r="B1353" i="1"/>
  <c r="A1353" i="1"/>
  <c r="J1352" i="1"/>
  <c r="G1352" i="1"/>
  <c r="F1352" i="1"/>
  <c r="E1352" i="1"/>
  <c r="D1352" i="1"/>
  <c r="C1352" i="1"/>
  <c r="B1352" i="1"/>
  <c r="A1352" i="1"/>
  <c r="J1351" i="1"/>
  <c r="G1351" i="1"/>
  <c r="F1351" i="1"/>
  <c r="E1351" i="1"/>
  <c r="D1351" i="1"/>
  <c r="C1351" i="1"/>
  <c r="B1351" i="1"/>
  <c r="A1351" i="1"/>
  <c r="J1350" i="1"/>
  <c r="G1350" i="1"/>
  <c r="F1350" i="1"/>
  <c r="E1350" i="1"/>
  <c r="D1350" i="1"/>
  <c r="C1350" i="1"/>
  <c r="B1350" i="1"/>
  <c r="A1350" i="1"/>
  <c r="J1349" i="1"/>
  <c r="G1349" i="1"/>
  <c r="F1349" i="1"/>
  <c r="E1349" i="1"/>
  <c r="D1349" i="1"/>
  <c r="C1349" i="1"/>
  <c r="B1349" i="1"/>
  <c r="A1349" i="1"/>
  <c r="J1348" i="1"/>
  <c r="G1348" i="1"/>
  <c r="F1348" i="1"/>
  <c r="E1348" i="1"/>
  <c r="D1348" i="1"/>
  <c r="C1348" i="1"/>
  <c r="B1348" i="1"/>
  <c r="A1348" i="1"/>
  <c r="J1347" i="1"/>
  <c r="G1347" i="1"/>
  <c r="F1347" i="1"/>
  <c r="E1347" i="1"/>
  <c r="D1347" i="1"/>
  <c r="C1347" i="1"/>
  <c r="B1347" i="1"/>
  <c r="A1347" i="1"/>
  <c r="J1346" i="1"/>
  <c r="G1346" i="1"/>
  <c r="F1346" i="1"/>
  <c r="E1346" i="1"/>
  <c r="D1346" i="1"/>
  <c r="C1346" i="1"/>
  <c r="B1346" i="1"/>
  <c r="A1346" i="1"/>
  <c r="J1345" i="1"/>
  <c r="G1345" i="1"/>
  <c r="F1345" i="1"/>
  <c r="E1345" i="1"/>
  <c r="D1345" i="1"/>
  <c r="C1345" i="1"/>
  <c r="B1345" i="1"/>
  <c r="A1345" i="1"/>
  <c r="J1344" i="1"/>
  <c r="G1344" i="1"/>
  <c r="F1344" i="1"/>
  <c r="E1344" i="1"/>
  <c r="D1344" i="1"/>
  <c r="C1344" i="1"/>
  <c r="B1344" i="1"/>
  <c r="A1344" i="1"/>
  <c r="J1343" i="1"/>
  <c r="G1343" i="1"/>
  <c r="F1343" i="1"/>
  <c r="E1343" i="1"/>
  <c r="D1343" i="1"/>
  <c r="C1343" i="1"/>
  <c r="B1343" i="1"/>
  <c r="A1343" i="1"/>
  <c r="J1342" i="1"/>
  <c r="G1342" i="1"/>
  <c r="F1342" i="1"/>
  <c r="E1342" i="1"/>
  <c r="D1342" i="1"/>
  <c r="C1342" i="1"/>
  <c r="B1342" i="1"/>
  <c r="A1342" i="1"/>
  <c r="J1341" i="1"/>
  <c r="G1341" i="1"/>
  <c r="F1341" i="1"/>
  <c r="E1341" i="1"/>
  <c r="D1341" i="1"/>
  <c r="C1341" i="1"/>
  <c r="B1341" i="1"/>
  <c r="A1341" i="1"/>
  <c r="J1340" i="1"/>
  <c r="G1340" i="1"/>
  <c r="F1340" i="1"/>
  <c r="E1340" i="1"/>
  <c r="D1340" i="1"/>
  <c r="C1340" i="1"/>
  <c r="B1340" i="1"/>
  <c r="A1340" i="1"/>
  <c r="J1339" i="1"/>
  <c r="G1339" i="1"/>
  <c r="F1339" i="1"/>
  <c r="E1339" i="1"/>
  <c r="D1339" i="1"/>
  <c r="C1339" i="1"/>
  <c r="B1339" i="1"/>
  <c r="A1339" i="1"/>
  <c r="J1338" i="1"/>
  <c r="G1338" i="1"/>
  <c r="F1338" i="1"/>
  <c r="E1338" i="1"/>
  <c r="D1338" i="1"/>
  <c r="C1338" i="1"/>
  <c r="B1338" i="1"/>
  <c r="A1338" i="1"/>
  <c r="J1337" i="1"/>
  <c r="G1337" i="1"/>
  <c r="F1337" i="1"/>
  <c r="E1337" i="1"/>
  <c r="D1337" i="1"/>
  <c r="C1337" i="1"/>
  <c r="B1337" i="1"/>
  <c r="A1337" i="1"/>
  <c r="J1336" i="1"/>
  <c r="G1336" i="1"/>
  <c r="F1336" i="1"/>
  <c r="E1336" i="1"/>
  <c r="D1336" i="1"/>
  <c r="C1336" i="1"/>
  <c r="B1336" i="1"/>
  <c r="A1336" i="1"/>
  <c r="J1335" i="1"/>
  <c r="G1335" i="1"/>
  <c r="F1335" i="1"/>
  <c r="E1335" i="1"/>
  <c r="D1335" i="1"/>
  <c r="C1335" i="1"/>
  <c r="B1335" i="1"/>
  <c r="A1335" i="1"/>
  <c r="J1334" i="1"/>
  <c r="G1334" i="1"/>
  <c r="F1334" i="1"/>
  <c r="E1334" i="1"/>
  <c r="D1334" i="1"/>
  <c r="C1334" i="1"/>
  <c r="B1334" i="1"/>
  <c r="A1334" i="1"/>
  <c r="J1333" i="1"/>
  <c r="G1333" i="1"/>
  <c r="F1333" i="1"/>
  <c r="E1333" i="1"/>
  <c r="D1333" i="1"/>
  <c r="C1333" i="1"/>
  <c r="B1333" i="1"/>
  <c r="A1333" i="1"/>
  <c r="J1332" i="1"/>
  <c r="G1332" i="1"/>
  <c r="F1332" i="1"/>
  <c r="E1332" i="1"/>
  <c r="D1332" i="1"/>
  <c r="C1332" i="1"/>
  <c r="B1332" i="1"/>
  <c r="A1332" i="1"/>
  <c r="J1331" i="1"/>
  <c r="G1331" i="1"/>
  <c r="F1331" i="1"/>
  <c r="E1331" i="1"/>
  <c r="D1331" i="1"/>
  <c r="C1331" i="1"/>
  <c r="B1331" i="1"/>
  <c r="A1331" i="1"/>
  <c r="J1330" i="1"/>
  <c r="G1330" i="1"/>
  <c r="F1330" i="1"/>
  <c r="E1330" i="1"/>
  <c r="D1330" i="1"/>
  <c r="C1330" i="1"/>
  <c r="B1330" i="1"/>
  <c r="A1330" i="1"/>
  <c r="J1329" i="1"/>
  <c r="G1329" i="1"/>
  <c r="F1329" i="1"/>
  <c r="E1329" i="1"/>
  <c r="D1329" i="1"/>
  <c r="C1329" i="1"/>
  <c r="B1329" i="1"/>
  <c r="A1329" i="1"/>
  <c r="J1328" i="1"/>
  <c r="G1328" i="1"/>
  <c r="F1328" i="1"/>
  <c r="E1328" i="1"/>
  <c r="D1328" i="1"/>
  <c r="C1328" i="1"/>
  <c r="B1328" i="1"/>
  <c r="A1328" i="1"/>
  <c r="J1327" i="1"/>
  <c r="G1327" i="1"/>
  <c r="F1327" i="1"/>
  <c r="E1327" i="1"/>
  <c r="D1327" i="1"/>
  <c r="C1327" i="1"/>
  <c r="B1327" i="1"/>
  <c r="A1327" i="1"/>
  <c r="J1326" i="1"/>
  <c r="G1326" i="1"/>
  <c r="F1326" i="1"/>
  <c r="E1326" i="1"/>
  <c r="D1326" i="1"/>
  <c r="C1326" i="1"/>
  <c r="B1326" i="1"/>
  <c r="A1326" i="1"/>
  <c r="J1325" i="1"/>
  <c r="G1325" i="1"/>
  <c r="F1325" i="1"/>
  <c r="E1325" i="1"/>
  <c r="D1325" i="1"/>
  <c r="C1325" i="1"/>
  <c r="B1325" i="1"/>
  <c r="A1325" i="1"/>
  <c r="J1324" i="1"/>
  <c r="G1324" i="1"/>
  <c r="F1324" i="1"/>
  <c r="E1324" i="1"/>
  <c r="D1324" i="1"/>
  <c r="C1324" i="1"/>
  <c r="B1324" i="1"/>
  <c r="A1324" i="1"/>
  <c r="J1323" i="1"/>
  <c r="G1323" i="1"/>
  <c r="F1323" i="1"/>
  <c r="E1323" i="1"/>
  <c r="D1323" i="1"/>
  <c r="C1323" i="1"/>
  <c r="B1323" i="1"/>
  <c r="A1323" i="1"/>
  <c r="J1322" i="1"/>
  <c r="G1322" i="1"/>
  <c r="F1322" i="1"/>
  <c r="E1322" i="1"/>
  <c r="D1322" i="1"/>
  <c r="C1322" i="1"/>
  <c r="B1322" i="1"/>
  <c r="A1322" i="1"/>
  <c r="J1321" i="1"/>
  <c r="G1321" i="1"/>
  <c r="F1321" i="1"/>
  <c r="E1321" i="1"/>
  <c r="D1321" i="1"/>
  <c r="C1321" i="1"/>
  <c r="B1321" i="1"/>
  <c r="A1321" i="1"/>
  <c r="J1320" i="1"/>
  <c r="G1320" i="1"/>
  <c r="F1320" i="1"/>
  <c r="E1320" i="1"/>
  <c r="D1320" i="1"/>
  <c r="C1320" i="1"/>
  <c r="B1320" i="1"/>
  <c r="A1320" i="1"/>
  <c r="J1319" i="1"/>
  <c r="G1319" i="1"/>
  <c r="F1319" i="1"/>
  <c r="E1319" i="1"/>
  <c r="D1319" i="1"/>
  <c r="C1319" i="1"/>
  <c r="B1319" i="1"/>
  <c r="A1319" i="1"/>
  <c r="J1318" i="1"/>
  <c r="G1318" i="1"/>
  <c r="F1318" i="1"/>
  <c r="E1318" i="1"/>
  <c r="D1318" i="1"/>
  <c r="C1318" i="1"/>
  <c r="B1318" i="1"/>
  <c r="A1318" i="1"/>
  <c r="J1317" i="1"/>
  <c r="G1317" i="1"/>
  <c r="F1317" i="1"/>
  <c r="E1317" i="1"/>
  <c r="D1317" i="1"/>
  <c r="C1317" i="1"/>
  <c r="B1317" i="1"/>
  <c r="A1317" i="1"/>
  <c r="J1316" i="1"/>
  <c r="G1316" i="1"/>
  <c r="F1316" i="1"/>
  <c r="E1316" i="1"/>
  <c r="D1316" i="1"/>
  <c r="C1316" i="1"/>
  <c r="B1316" i="1"/>
  <c r="A1316" i="1"/>
  <c r="J1315" i="1"/>
  <c r="G1315" i="1"/>
  <c r="F1315" i="1"/>
  <c r="E1315" i="1"/>
  <c r="D1315" i="1"/>
  <c r="C1315" i="1"/>
  <c r="B1315" i="1"/>
  <c r="A1315" i="1"/>
  <c r="J1314" i="1"/>
  <c r="G1314" i="1"/>
  <c r="F1314" i="1"/>
  <c r="E1314" i="1"/>
  <c r="D1314" i="1"/>
  <c r="C1314" i="1"/>
  <c r="B1314" i="1"/>
  <c r="A1314" i="1"/>
  <c r="J1313" i="1"/>
  <c r="G1313" i="1"/>
  <c r="F1313" i="1"/>
  <c r="E1313" i="1"/>
  <c r="D1313" i="1"/>
  <c r="C1313" i="1"/>
  <c r="B1313" i="1"/>
  <c r="A1313" i="1"/>
  <c r="J1312" i="1"/>
  <c r="G1312" i="1"/>
  <c r="F1312" i="1"/>
  <c r="E1312" i="1"/>
  <c r="D1312" i="1"/>
  <c r="C1312" i="1"/>
  <c r="B1312" i="1"/>
  <c r="A1312" i="1"/>
  <c r="J1311" i="1"/>
  <c r="G1311" i="1"/>
  <c r="F1311" i="1"/>
  <c r="E1311" i="1"/>
  <c r="D1311" i="1"/>
  <c r="C1311" i="1"/>
  <c r="B1311" i="1"/>
  <c r="A1311" i="1"/>
  <c r="J1310" i="1"/>
  <c r="G1310" i="1"/>
  <c r="F1310" i="1"/>
  <c r="E1310" i="1"/>
  <c r="D1310" i="1"/>
  <c r="C1310" i="1"/>
  <c r="B1310" i="1"/>
  <c r="A1310" i="1"/>
  <c r="J1309" i="1"/>
  <c r="G1309" i="1"/>
  <c r="F1309" i="1"/>
  <c r="E1309" i="1"/>
  <c r="D1309" i="1"/>
  <c r="C1309" i="1"/>
  <c r="B1309" i="1"/>
  <c r="A1309" i="1"/>
  <c r="J1308" i="1"/>
  <c r="G1308" i="1"/>
  <c r="F1308" i="1"/>
  <c r="E1308" i="1"/>
  <c r="D1308" i="1"/>
  <c r="C1308" i="1"/>
  <c r="B1308" i="1"/>
  <c r="A1308" i="1"/>
  <c r="J1307" i="1"/>
  <c r="G1307" i="1"/>
  <c r="F1307" i="1"/>
  <c r="E1307" i="1"/>
  <c r="D1307" i="1"/>
  <c r="C1307" i="1"/>
  <c r="B1307" i="1"/>
  <c r="A1307" i="1"/>
  <c r="J1306" i="1"/>
  <c r="G1306" i="1"/>
  <c r="F1306" i="1"/>
  <c r="E1306" i="1"/>
  <c r="D1306" i="1"/>
  <c r="C1306" i="1"/>
  <c r="B1306" i="1"/>
  <c r="A1306" i="1"/>
  <c r="J1305" i="1"/>
  <c r="G1305" i="1"/>
  <c r="F1305" i="1"/>
  <c r="E1305" i="1"/>
  <c r="D1305" i="1"/>
  <c r="C1305" i="1"/>
  <c r="B1305" i="1"/>
  <c r="A1305" i="1"/>
  <c r="J1304" i="1"/>
  <c r="G1304" i="1"/>
  <c r="F1304" i="1"/>
  <c r="E1304" i="1"/>
  <c r="D1304" i="1"/>
  <c r="C1304" i="1"/>
  <c r="B1304" i="1"/>
  <c r="A1304" i="1"/>
  <c r="J1303" i="1"/>
  <c r="G1303" i="1"/>
  <c r="F1303" i="1"/>
  <c r="E1303" i="1"/>
  <c r="D1303" i="1"/>
  <c r="C1303" i="1"/>
  <c r="B1303" i="1"/>
  <c r="A1303" i="1"/>
  <c r="J1302" i="1"/>
  <c r="G1302" i="1"/>
  <c r="F1302" i="1"/>
  <c r="E1302" i="1"/>
  <c r="D1302" i="1"/>
  <c r="C1302" i="1"/>
  <c r="B1302" i="1"/>
  <c r="A1302" i="1"/>
  <c r="J1301" i="1"/>
  <c r="G1301" i="1"/>
  <c r="F1301" i="1"/>
  <c r="E1301" i="1"/>
  <c r="D1301" i="1"/>
  <c r="C1301" i="1"/>
  <c r="B1301" i="1"/>
  <c r="A1301" i="1"/>
  <c r="J1300" i="1"/>
  <c r="G1300" i="1"/>
  <c r="F1300" i="1"/>
  <c r="E1300" i="1"/>
  <c r="D1300" i="1"/>
  <c r="C1300" i="1"/>
  <c r="B1300" i="1"/>
  <c r="A1300" i="1"/>
  <c r="J1299" i="1"/>
  <c r="G1299" i="1"/>
  <c r="F1299" i="1"/>
  <c r="E1299" i="1"/>
  <c r="D1299" i="1"/>
  <c r="C1299" i="1"/>
  <c r="B1299" i="1"/>
  <c r="A1299" i="1"/>
  <c r="J1298" i="1"/>
  <c r="G1298" i="1"/>
  <c r="F1298" i="1"/>
  <c r="E1298" i="1"/>
  <c r="D1298" i="1"/>
  <c r="C1298" i="1"/>
  <c r="B1298" i="1"/>
  <c r="A1298" i="1"/>
  <c r="J1297" i="1"/>
  <c r="G1297" i="1"/>
  <c r="F1297" i="1"/>
  <c r="E1297" i="1"/>
  <c r="D1297" i="1"/>
  <c r="C1297" i="1"/>
  <c r="B1297" i="1"/>
  <c r="A1297" i="1"/>
  <c r="J1296" i="1"/>
  <c r="G1296" i="1"/>
  <c r="F1296" i="1"/>
  <c r="E1296" i="1"/>
  <c r="D1296" i="1"/>
  <c r="C1296" i="1"/>
  <c r="B1296" i="1"/>
  <c r="A1296" i="1"/>
  <c r="J1295" i="1"/>
  <c r="G1295" i="1"/>
  <c r="F1295" i="1"/>
  <c r="E1295" i="1"/>
  <c r="D1295" i="1"/>
  <c r="C1295" i="1"/>
  <c r="B1295" i="1"/>
  <c r="A1295" i="1"/>
  <c r="J1294" i="1"/>
  <c r="G1294" i="1"/>
  <c r="F1294" i="1"/>
  <c r="E1294" i="1"/>
  <c r="D1294" i="1"/>
  <c r="C1294" i="1"/>
  <c r="B1294" i="1"/>
  <c r="A1294" i="1"/>
  <c r="J1293" i="1"/>
  <c r="G1293" i="1"/>
  <c r="F1293" i="1"/>
  <c r="E1293" i="1"/>
  <c r="D1293" i="1"/>
  <c r="C1293" i="1"/>
  <c r="B1293" i="1"/>
  <c r="A1293" i="1"/>
  <c r="J1292" i="1"/>
  <c r="G1292" i="1"/>
  <c r="F1292" i="1"/>
  <c r="E1292" i="1"/>
  <c r="D1292" i="1"/>
  <c r="C1292" i="1"/>
  <c r="B1292" i="1"/>
  <c r="A1292" i="1"/>
  <c r="J1291" i="1"/>
  <c r="G1291" i="1"/>
  <c r="F1291" i="1"/>
  <c r="E1291" i="1"/>
  <c r="D1291" i="1"/>
  <c r="C1291" i="1"/>
  <c r="B1291" i="1"/>
  <c r="A1291" i="1"/>
  <c r="J1290" i="1"/>
  <c r="G1290" i="1"/>
  <c r="F1290" i="1"/>
  <c r="E1290" i="1"/>
  <c r="D1290" i="1"/>
  <c r="C1290" i="1"/>
  <c r="B1290" i="1"/>
  <c r="A1290" i="1"/>
  <c r="J1289" i="1"/>
  <c r="G1289" i="1"/>
  <c r="F1289" i="1"/>
  <c r="E1289" i="1"/>
  <c r="D1289" i="1"/>
  <c r="C1289" i="1"/>
  <c r="B1289" i="1"/>
  <c r="A1289" i="1"/>
  <c r="J1288" i="1"/>
  <c r="G1288" i="1"/>
  <c r="F1288" i="1"/>
  <c r="E1288" i="1"/>
  <c r="D1288" i="1"/>
  <c r="C1288" i="1"/>
  <c r="B1288" i="1"/>
  <c r="A1288" i="1"/>
  <c r="J1287" i="1"/>
  <c r="G1287" i="1"/>
  <c r="F1287" i="1"/>
  <c r="E1287" i="1"/>
  <c r="D1287" i="1"/>
  <c r="C1287" i="1"/>
  <c r="B1287" i="1"/>
  <c r="A1287" i="1"/>
  <c r="J1286" i="1"/>
  <c r="G1286" i="1"/>
  <c r="F1286" i="1"/>
  <c r="E1286" i="1"/>
  <c r="D1286" i="1"/>
  <c r="C1286" i="1"/>
  <c r="B1286" i="1"/>
  <c r="A1286" i="1"/>
  <c r="J1285" i="1"/>
  <c r="G1285" i="1"/>
  <c r="F1285" i="1"/>
  <c r="E1285" i="1"/>
  <c r="D1285" i="1"/>
  <c r="C1285" i="1"/>
  <c r="B1285" i="1"/>
  <c r="A1285" i="1"/>
  <c r="J1284" i="1"/>
  <c r="G1284" i="1"/>
  <c r="F1284" i="1"/>
  <c r="E1284" i="1"/>
  <c r="D1284" i="1"/>
  <c r="C1284" i="1"/>
  <c r="B1284" i="1"/>
  <c r="A1284" i="1"/>
  <c r="J1283" i="1"/>
  <c r="G1283" i="1"/>
  <c r="F1283" i="1"/>
  <c r="E1283" i="1"/>
  <c r="D1283" i="1"/>
  <c r="C1283" i="1"/>
  <c r="B1283" i="1"/>
  <c r="A1283" i="1"/>
  <c r="J1282" i="1"/>
  <c r="G1282" i="1"/>
  <c r="F1282" i="1"/>
  <c r="E1282" i="1"/>
  <c r="D1282" i="1"/>
  <c r="C1282" i="1"/>
  <c r="B1282" i="1"/>
  <c r="A1282" i="1"/>
  <c r="J1281" i="1"/>
  <c r="G1281" i="1"/>
  <c r="F1281" i="1"/>
  <c r="E1281" i="1"/>
  <c r="D1281" i="1"/>
  <c r="C1281" i="1"/>
  <c r="B1281" i="1"/>
  <c r="A1281" i="1"/>
  <c r="J1280" i="1"/>
  <c r="G1280" i="1"/>
  <c r="F1280" i="1"/>
  <c r="E1280" i="1"/>
  <c r="D1280" i="1"/>
  <c r="C1280" i="1"/>
  <c r="B1280" i="1"/>
  <c r="A1280" i="1"/>
  <c r="J1279" i="1"/>
  <c r="G1279" i="1"/>
  <c r="F1279" i="1"/>
  <c r="E1279" i="1"/>
  <c r="D1279" i="1"/>
  <c r="C1279" i="1"/>
  <c r="B1279" i="1"/>
  <c r="A1279" i="1"/>
  <c r="J1278" i="1"/>
  <c r="G1278" i="1"/>
  <c r="F1278" i="1"/>
  <c r="E1278" i="1"/>
  <c r="D1278" i="1"/>
  <c r="C1278" i="1"/>
  <c r="B1278" i="1"/>
  <c r="A1278" i="1"/>
  <c r="J1277" i="1"/>
  <c r="G1277" i="1"/>
  <c r="F1277" i="1"/>
  <c r="E1277" i="1"/>
  <c r="D1277" i="1"/>
  <c r="C1277" i="1"/>
  <c r="B1277" i="1"/>
  <c r="A1277" i="1"/>
  <c r="J1276" i="1"/>
  <c r="G1276" i="1"/>
  <c r="F1276" i="1"/>
  <c r="E1276" i="1"/>
  <c r="D1276" i="1"/>
  <c r="C1276" i="1"/>
  <c r="B1276" i="1"/>
  <c r="A1276" i="1"/>
  <c r="J1275" i="1"/>
  <c r="G1275" i="1"/>
  <c r="F1275" i="1"/>
  <c r="E1275" i="1"/>
  <c r="D1275" i="1"/>
  <c r="C1275" i="1"/>
  <c r="B1275" i="1"/>
  <c r="A1275" i="1"/>
  <c r="J1274" i="1"/>
  <c r="G1274" i="1"/>
  <c r="F1274" i="1"/>
  <c r="E1274" i="1"/>
  <c r="D1274" i="1"/>
  <c r="C1274" i="1"/>
  <c r="B1274" i="1"/>
  <c r="A1274" i="1"/>
  <c r="J1273" i="1"/>
  <c r="G1273" i="1"/>
  <c r="F1273" i="1"/>
  <c r="E1273" i="1"/>
  <c r="D1273" i="1"/>
  <c r="C1273" i="1"/>
  <c r="B1273" i="1"/>
  <c r="A1273" i="1"/>
  <c r="J1272" i="1"/>
  <c r="G1272" i="1"/>
  <c r="F1272" i="1"/>
  <c r="E1272" i="1"/>
  <c r="D1272" i="1"/>
  <c r="C1272" i="1"/>
  <c r="B1272" i="1"/>
  <c r="A1272" i="1"/>
  <c r="J1271" i="1"/>
  <c r="G1271" i="1"/>
  <c r="F1271" i="1"/>
  <c r="E1271" i="1"/>
  <c r="D1271" i="1"/>
  <c r="C1271" i="1"/>
  <c r="B1271" i="1"/>
  <c r="A1271" i="1"/>
  <c r="J1270" i="1"/>
  <c r="G1270" i="1"/>
  <c r="F1270" i="1"/>
  <c r="E1270" i="1"/>
  <c r="D1270" i="1"/>
  <c r="C1270" i="1"/>
  <c r="B1270" i="1"/>
  <c r="A1270" i="1"/>
  <c r="J1269" i="1"/>
  <c r="G1269" i="1"/>
  <c r="F1269" i="1"/>
  <c r="E1269" i="1"/>
  <c r="D1269" i="1"/>
  <c r="C1269" i="1"/>
  <c r="B1269" i="1"/>
  <c r="A1269" i="1"/>
  <c r="J1268" i="1"/>
  <c r="G1268" i="1"/>
  <c r="F1268" i="1"/>
  <c r="E1268" i="1"/>
  <c r="D1268" i="1"/>
  <c r="C1268" i="1"/>
  <c r="B1268" i="1"/>
  <c r="A1268" i="1"/>
  <c r="J1267" i="1"/>
  <c r="G1267" i="1"/>
  <c r="F1267" i="1"/>
  <c r="E1267" i="1"/>
  <c r="D1267" i="1"/>
  <c r="C1267" i="1"/>
  <c r="B1267" i="1"/>
  <c r="A1267" i="1"/>
  <c r="J1266" i="1"/>
  <c r="G1266" i="1"/>
  <c r="F1266" i="1"/>
  <c r="E1266" i="1"/>
  <c r="D1266" i="1"/>
  <c r="C1266" i="1"/>
  <c r="B1266" i="1"/>
  <c r="A1266" i="1"/>
  <c r="J1265" i="1"/>
  <c r="G1265" i="1"/>
  <c r="F1265" i="1"/>
  <c r="E1265" i="1"/>
  <c r="D1265" i="1"/>
  <c r="C1265" i="1"/>
  <c r="B1265" i="1"/>
  <c r="A1265" i="1"/>
  <c r="J1264" i="1"/>
  <c r="G1264" i="1"/>
  <c r="F1264" i="1"/>
  <c r="E1264" i="1"/>
  <c r="D1264" i="1"/>
  <c r="C1264" i="1"/>
  <c r="B1264" i="1"/>
  <c r="A1264" i="1"/>
  <c r="J1263" i="1"/>
  <c r="G1263" i="1"/>
  <c r="F1263" i="1"/>
  <c r="E1263" i="1"/>
  <c r="D1263" i="1"/>
  <c r="C1263" i="1"/>
  <c r="B1263" i="1"/>
  <c r="A1263" i="1"/>
  <c r="J1262" i="1"/>
  <c r="G1262" i="1"/>
  <c r="F1262" i="1"/>
  <c r="E1262" i="1"/>
  <c r="D1262" i="1"/>
  <c r="C1262" i="1"/>
  <c r="B1262" i="1"/>
  <c r="A1262" i="1"/>
  <c r="J1261" i="1"/>
  <c r="G1261" i="1"/>
  <c r="F1261" i="1"/>
  <c r="E1261" i="1"/>
  <c r="D1261" i="1"/>
  <c r="C1261" i="1"/>
  <c r="B1261" i="1"/>
  <c r="A1261" i="1"/>
  <c r="J1260" i="1"/>
  <c r="G1260" i="1"/>
  <c r="F1260" i="1"/>
  <c r="E1260" i="1"/>
  <c r="D1260" i="1"/>
  <c r="C1260" i="1"/>
  <c r="B1260" i="1"/>
  <c r="A1260" i="1"/>
  <c r="J1259" i="1"/>
  <c r="G1259" i="1"/>
  <c r="F1259" i="1"/>
  <c r="E1259" i="1"/>
  <c r="D1259" i="1"/>
  <c r="C1259" i="1"/>
  <c r="B1259" i="1"/>
  <c r="A1259" i="1"/>
  <c r="J1258" i="1"/>
  <c r="G1258" i="1"/>
  <c r="F1258" i="1"/>
  <c r="E1258" i="1"/>
  <c r="D1258" i="1"/>
  <c r="C1258" i="1"/>
  <c r="B1258" i="1"/>
  <c r="A1258" i="1"/>
  <c r="J1257" i="1"/>
  <c r="G1257" i="1"/>
  <c r="F1257" i="1"/>
  <c r="E1257" i="1"/>
  <c r="D1257" i="1"/>
  <c r="C1257" i="1"/>
  <c r="B1257" i="1"/>
  <c r="A1257" i="1"/>
  <c r="J1256" i="1"/>
  <c r="G1256" i="1"/>
  <c r="F1256" i="1"/>
  <c r="E1256" i="1"/>
  <c r="D1256" i="1"/>
  <c r="C1256" i="1"/>
  <c r="B1256" i="1"/>
  <c r="A1256" i="1"/>
  <c r="J1255" i="1"/>
  <c r="G1255" i="1"/>
  <c r="F1255" i="1"/>
  <c r="E1255" i="1"/>
  <c r="D1255" i="1"/>
  <c r="C1255" i="1"/>
  <c r="B1255" i="1"/>
  <c r="A1255" i="1"/>
  <c r="J1254" i="1"/>
  <c r="G1254" i="1"/>
  <c r="F1254" i="1"/>
  <c r="E1254" i="1"/>
  <c r="D1254" i="1"/>
  <c r="C1254" i="1"/>
  <c r="B1254" i="1"/>
  <c r="A1254" i="1"/>
  <c r="J1253" i="1"/>
  <c r="G1253" i="1"/>
  <c r="F1253" i="1"/>
  <c r="E1253" i="1"/>
  <c r="D1253" i="1"/>
  <c r="C1253" i="1"/>
  <c r="B1253" i="1"/>
  <c r="A1253" i="1"/>
  <c r="J1252" i="1"/>
  <c r="G1252" i="1"/>
  <c r="F1252" i="1"/>
  <c r="E1252" i="1"/>
  <c r="D1252" i="1"/>
  <c r="C1252" i="1"/>
  <c r="B1252" i="1"/>
  <c r="A1252" i="1"/>
  <c r="J1251" i="1"/>
  <c r="G1251" i="1"/>
  <c r="F1251" i="1"/>
  <c r="E1251" i="1"/>
  <c r="C1251" i="1"/>
  <c r="B1251" i="1"/>
  <c r="A1251" i="1"/>
  <c r="J1250" i="1"/>
  <c r="G1250" i="1"/>
  <c r="F1250" i="1"/>
  <c r="E1250" i="1"/>
  <c r="D1250" i="1"/>
  <c r="C1250" i="1"/>
  <c r="B1250" i="1"/>
  <c r="A1250" i="1"/>
  <c r="J1249" i="1"/>
  <c r="G1249" i="1"/>
  <c r="F1249" i="1"/>
  <c r="E1249" i="1"/>
  <c r="D1249" i="1"/>
  <c r="C1249" i="1"/>
  <c r="B1249" i="1"/>
  <c r="A1249" i="1"/>
  <c r="J1248" i="1"/>
  <c r="G1248" i="1"/>
  <c r="F1248" i="1"/>
  <c r="E1248" i="1"/>
  <c r="D1248" i="1"/>
  <c r="C1248" i="1"/>
  <c r="B1248" i="1"/>
  <c r="A1248" i="1"/>
  <c r="J1247" i="1"/>
  <c r="I1247" i="1"/>
  <c r="H1247" i="1"/>
  <c r="G1247" i="1"/>
  <c r="F1247" i="1"/>
  <c r="E1247" i="1"/>
  <c r="C1247" i="1"/>
  <c r="B1247" i="1"/>
  <c r="A1247" i="1"/>
  <c r="J1246" i="1"/>
  <c r="G1246" i="1"/>
  <c r="F1246" i="1"/>
  <c r="E1246" i="1"/>
  <c r="D1246" i="1"/>
  <c r="C1246" i="1"/>
  <c r="B1246" i="1"/>
  <c r="A1246" i="1"/>
  <c r="J1245" i="1"/>
  <c r="G1245" i="1"/>
  <c r="F1245" i="1"/>
  <c r="E1245" i="1"/>
  <c r="D1245" i="1"/>
  <c r="C1245" i="1"/>
  <c r="B1245" i="1"/>
  <c r="A1245" i="1"/>
  <c r="J1244" i="1"/>
  <c r="G1244" i="1"/>
  <c r="F1244" i="1"/>
  <c r="E1244" i="1"/>
  <c r="D1244" i="1"/>
  <c r="C1244" i="1"/>
  <c r="B1244" i="1"/>
  <c r="A1244" i="1"/>
  <c r="J1243" i="1"/>
  <c r="G1243" i="1"/>
  <c r="F1243" i="1"/>
  <c r="E1243" i="1"/>
  <c r="D1243" i="1"/>
  <c r="C1243" i="1"/>
  <c r="B1243" i="1"/>
  <c r="A1243" i="1"/>
  <c r="J1242" i="1"/>
  <c r="G1242" i="1"/>
  <c r="F1242" i="1"/>
  <c r="E1242" i="1"/>
  <c r="D1242" i="1"/>
  <c r="C1242" i="1"/>
  <c r="B1242" i="1"/>
  <c r="A1242" i="1"/>
  <c r="J1241" i="1"/>
  <c r="G1241" i="1"/>
  <c r="F1241" i="1"/>
  <c r="E1241" i="1"/>
  <c r="D1241" i="1"/>
  <c r="C1241" i="1"/>
  <c r="B1241" i="1"/>
  <c r="A1241" i="1"/>
  <c r="J1240" i="1"/>
  <c r="I1240" i="1"/>
  <c r="H1240" i="1"/>
  <c r="G1240" i="1"/>
  <c r="F1240" i="1"/>
  <c r="E1240" i="1"/>
  <c r="C1240" i="1"/>
  <c r="B1240" i="1"/>
  <c r="A1240" i="1"/>
  <c r="J1239" i="1"/>
  <c r="G1239" i="1"/>
  <c r="F1239" i="1"/>
  <c r="E1239" i="1"/>
  <c r="D1239" i="1"/>
  <c r="C1239" i="1"/>
  <c r="B1239" i="1"/>
  <c r="A1239" i="1"/>
  <c r="J1238" i="1"/>
  <c r="G1238" i="1"/>
  <c r="F1238" i="1"/>
  <c r="E1238" i="1"/>
  <c r="D1238" i="1"/>
  <c r="C1238" i="1"/>
  <c r="B1238" i="1"/>
  <c r="A1238" i="1"/>
  <c r="J1237" i="1"/>
  <c r="G1237" i="1"/>
  <c r="F1237" i="1"/>
  <c r="E1237" i="1"/>
  <c r="D1237" i="1"/>
  <c r="C1237" i="1"/>
  <c r="B1237" i="1"/>
  <c r="A1237" i="1"/>
  <c r="J1236" i="1"/>
  <c r="G1236" i="1"/>
  <c r="F1236" i="1"/>
  <c r="E1236" i="1"/>
  <c r="D1236" i="1"/>
  <c r="C1236" i="1"/>
  <c r="B1236" i="1"/>
  <c r="A1236" i="1"/>
  <c r="J1235" i="1"/>
  <c r="G1235" i="1"/>
  <c r="F1235" i="1"/>
  <c r="E1235" i="1"/>
  <c r="D1235" i="1"/>
  <c r="C1235" i="1"/>
  <c r="B1235" i="1"/>
  <c r="A1235" i="1"/>
  <c r="J1234" i="1"/>
  <c r="G1234" i="1"/>
  <c r="F1234" i="1"/>
  <c r="E1234" i="1"/>
  <c r="D1234" i="1"/>
  <c r="C1234" i="1"/>
  <c r="B1234" i="1"/>
  <c r="A1234" i="1"/>
  <c r="J1233" i="1"/>
  <c r="I1233" i="1"/>
  <c r="H1233" i="1"/>
  <c r="G1233" i="1"/>
  <c r="F1233" i="1"/>
  <c r="E1233" i="1"/>
  <c r="C1233" i="1"/>
  <c r="B1233" i="1"/>
  <c r="A1233" i="1"/>
  <c r="J1232" i="1"/>
  <c r="I1232" i="1"/>
  <c r="H1232" i="1"/>
  <c r="G1232" i="1"/>
  <c r="F1232" i="1"/>
  <c r="E1232" i="1"/>
  <c r="D1232" i="1"/>
  <c r="C1232" i="1"/>
  <c r="B1232" i="1"/>
  <c r="A1232" i="1"/>
  <c r="J1231" i="1"/>
  <c r="G1231" i="1"/>
  <c r="F1231" i="1"/>
  <c r="E1231" i="1"/>
  <c r="D1231" i="1"/>
  <c r="C1231" i="1"/>
  <c r="B1231" i="1"/>
  <c r="A1231" i="1"/>
  <c r="J1230" i="1"/>
  <c r="G1230" i="1"/>
  <c r="F1230" i="1"/>
  <c r="E1230" i="1"/>
  <c r="D1230" i="1"/>
  <c r="C1230" i="1"/>
  <c r="B1230" i="1"/>
  <c r="A1230" i="1"/>
  <c r="J1229" i="1"/>
  <c r="G1229" i="1"/>
  <c r="F1229" i="1"/>
  <c r="E1229" i="1"/>
  <c r="D1229" i="1"/>
  <c r="C1229" i="1"/>
  <c r="B1229" i="1"/>
  <c r="A1229" i="1"/>
  <c r="J1228" i="1"/>
  <c r="G1228" i="1"/>
  <c r="F1228" i="1"/>
  <c r="E1228" i="1"/>
  <c r="D1228" i="1"/>
  <c r="C1228" i="1"/>
  <c r="B1228" i="1"/>
  <c r="A1228" i="1"/>
  <c r="J1227" i="1"/>
  <c r="G1227" i="1"/>
  <c r="F1227" i="1"/>
  <c r="E1227" i="1"/>
  <c r="D1227" i="1"/>
  <c r="C1227" i="1"/>
  <c r="B1227" i="1"/>
  <c r="A1227" i="1"/>
  <c r="J1226" i="1"/>
  <c r="G1226" i="1"/>
  <c r="F1226" i="1"/>
  <c r="E1226" i="1"/>
  <c r="D1226" i="1"/>
  <c r="C1226" i="1"/>
  <c r="B1226" i="1"/>
  <c r="A1226" i="1"/>
  <c r="J1225" i="1"/>
  <c r="G1225" i="1"/>
  <c r="F1225" i="1"/>
  <c r="E1225" i="1"/>
  <c r="D1225" i="1"/>
  <c r="C1225" i="1"/>
  <c r="B1225" i="1"/>
  <c r="A1225" i="1"/>
  <c r="J1224" i="1"/>
  <c r="G1224" i="1"/>
  <c r="F1224" i="1"/>
  <c r="E1224" i="1"/>
  <c r="D1224" i="1"/>
  <c r="C1224" i="1"/>
  <c r="B1224" i="1"/>
  <c r="A1224" i="1"/>
  <c r="J1223" i="1"/>
  <c r="G1223" i="1"/>
  <c r="F1223" i="1"/>
  <c r="E1223" i="1"/>
  <c r="D1223" i="1"/>
  <c r="C1223" i="1"/>
  <c r="B1223" i="1"/>
  <c r="A1223" i="1"/>
  <c r="J1222" i="1"/>
  <c r="G1222" i="1"/>
  <c r="F1222" i="1"/>
  <c r="E1222" i="1"/>
  <c r="D1222" i="1"/>
  <c r="C1222" i="1"/>
  <c r="B1222" i="1"/>
  <c r="A1222" i="1"/>
  <c r="J1221" i="1"/>
  <c r="G1221" i="1"/>
  <c r="F1221" i="1"/>
  <c r="E1221" i="1"/>
  <c r="D1221" i="1"/>
  <c r="C1221" i="1"/>
  <c r="B1221" i="1"/>
  <c r="A1221" i="1"/>
  <c r="J1220" i="1"/>
  <c r="G1220" i="1"/>
  <c r="F1220" i="1"/>
  <c r="E1220" i="1"/>
  <c r="D1220" i="1"/>
  <c r="C1220" i="1"/>
  <c r="B1220" i="1"/>
  <c r="A1220" i="1"/>
  <c r="J1219" i="1"/>
  <c r="G1219" i="1"/>
  <c r="F1219" i="1"/>
  <c r="E1219" i="1"/>
  <c r="D1219" i="1"/>
  <c r="C1219" i="1"/>
  <c r="B1219" i="1"/>
  <c r="A1219" i="1"/>
  <c r="J1218" i="1"/>
  <c r="G1218" i="1"/>
  <c r="F1218" i="1"/>
  <c r="E1218" i="1"/>
  <c r="D1218" i="1"/>
  <c r="C1218" i="1"/>
  <c r="B1218" i="1"/>
  <c r="A1218" i="1"/>
  <c r="J1217" i="1"/>
  <c r="G1217" i="1"/>
  <c r="F1217" i="1"/>
  <c r="E1217" i="1"/>
  <c r="D1217" i="1"/>
  <c r="C1217" i="1"/>
  <c r="B1217" i="1"/>
  <c r="A1217" i="1"/>
  <c r="J1216" i="1"/>
  <c r="I1216" i="1"/>
  <c r="H1216" i="1"/>
  <c r="G1216" i="1"/>
  <c r="F1216" i="1"/>
  <c r="E1216" i="1"/>
  <c r="D1216" i="1"/>
  <c r="C1216" i="1"/>
  <c r="B1216" i="1"/>
  <c r="A1216" i="1"/>
  <c r="J1215" i="1"/>
  <c r="G1215" i="1"/>
  <c r="F1215" i="1"/>
  <c r="E1215" i="1"/>
  <c r="D1215" i="1"/>
  <c r="C1215" i="1"/>
  <c r="B1215" i="1"/>
  <c r="A1215" i="1"/>
  <c r="J1214" i="1"/>
  <c r="G1214" i="1"/>
  <c r="F1214" i="1"/>
  <c r="E1214" i="1"/>
  <c r="D1214" i="1"/>
  <c r="C1214" i="1"/>
  <c r="B1214" i="1"/>
  <c r="A1214" i="1"/>
  <c r="J1213" i="1"/>
  <c r="I1213" i="1"/>
  <c r="H1213" i="1"/>
  <c r="G1213" i="1"/>
  <c r="F1213" i="1"/>
  <c r="E1213" i="1"/>
  <c r="C1213" i="1"/>
  <c r="B1213" i="1"/>
  <c r="A1213" i="1"/>
  <c r="J1212" i="1"/>
  <c r="G1212" i="1"/>
  <c r="F1212" i="1"/>
  <c r="E1212" i="1"/>
  <c r="D1212" i="1"/>
  <c r="C1212" i="1"/>
  <c r="B1212" i="1"/>
  <c r="A1212" i="1"/>
  <c r="J1211" i="1"/>
  <c r="G1211" i="1"/>
  <c r="F1211" i="1"/>
  <c r="E1211" i="1"/>
  <c r="D1211" i="1"/>
  <c r="C1211" i="1"/>
  <c r="B1211" i="1"/>
  <c r="A1211" i="1"/>
  <c r="J1210" i="1"/>
  <c r="G1210" i="1"/>
  <c r="F1210" i="1"/>
  <c r="E1210" i="1"/>
  <c r="D1210" i="1"/>
  <c r="C1210" i="1"/>
  <c r="B1210" i="1"/>
  <c r="A1210" i="1"/>
  <c r="J1209" i="1"/>
  <c r="G1209" i="1"/>
  <c r="F1209" i="1"/>
  <c r="E1209" i="1"/>
  <c r="D1209" i="1"/>
  <c r="C1209" i="1"/>
  <c r="B1209" i="1"/>
  <c r="A1209" i="1"/>
  <c r="J1208" i="1"/>
  <c r="G1208" i="1"/>
  <c r="F1208" i="1"/>
  <c r="E1208" i="1"/>
  <c r="D1208" i="1"/>
  <c r="C1208" i="1"/>
  <c r="B1208" i="1"/>
  <c r="A1208" i="1"/>
  <c r="J1207" i="1"/>
  <c r="G1207" i="1"/>
  <c r="F1207" i="1"/>
  <c r="E1207" i="1"/>
  <c r="D1207" i="1"/>
  <c r="C1207" i="1"/>
  <c r="B1207" i="1"/>
  <c r="A1207" i="1"/>
  <c r="J1206" i="1"/>
  <c r="G1206" i="1"/>
  <c r="F1206" i="1"/>
  <c r="E1206" i="1"/>
  <c r="D1206" i="1"/>
  <c r="C1206" i="1"/>
  <c r="B1206" i="1"/>
  <c r="A1206" i="1"/>
  <c r="J1205" i="1"/>
  <c r="G1205" i="1"/>
  <c r="F1205" i="1"/>
  <c r="E1205" i="1"/>
  <c r="D1205" i="1"/>
  <c r="C1205" i="1"/>
  <c r="B1205" i="1"/>
  <c r="A1205" i="1"/>
  <c r="J1204" i="1"/>
  <c r="G1204" i="1"/>
  <c r="F1204" i="1"/>
  <c r="E1204" i="1"/>
  <c r="D1204" i="1"/>
  <c r="C1204" i="1"/>
  <c r="B1204" i="1"/>
  <c r="A1204" i="1"/>
  <c r="J1203" i="1"/>
  <c r="G1203" i="1"/>
  <c r="F1203" i="1"/>
  <c r="E1203" i="1"/>
  <c r="D1203" i="1"/>
  <c r="C1203" i="1"/>
  <c r="B1203" i="1"/>
  <c r="A1203" i="1"/>
  <c r="J1202" i="1"/>
  <c r="G1202" i="1"/>
  <c r="F1202" i="1"/>
  <c r="E1202" i="1"/>
  <c r="D1202" i="1"/>
  <c r="C1202" i="1"/>
  <c r="B1202" i="1"/>
  <c r="A1202" i="1"/>
  <c r="J1201" i="1"/>
  <c r="G1201" i="1"/>
  <c r="F1201" i="1"/>
  <c r="E1201" i="1"/>
  <c r="D1201" i="1"/>
  <c r="C1201" i="1"/>
  <c r="B1201" i="1"/>
  <c r="A1201" i="1"/>
  <c r="J1200" i="1"/>
  <c r="G1200" i="1"/>
  <c r="F1200" i="1"/>
  <c r="E1200" i="1"/>
  <c r="D1200" i="1"/>
  <c r="C1200" i="1"/>
  <c r="B1200" i="1"/>
  <c r="A1200" i="1"/>
  <c r="J1199" i="1"/>
  <c r="G1199" i="1"/>
  <c r="F1199" i="1"/>
  <c r="E1199" i="1"/>
  <c r="D1199" i="1"/>
  <c r="C1199" i="1"/>
  <c r="B1199" i="1"/>
  <c r="A1199" i="1"/>
  <c r="J1198" i="1"/>
  <c r="G1198" i="1"/>
  <c r="F1198" i="1"/>
  <c r="E1198" i="1"/>
  <c r="D1198" i="1"/>
  <c r="C1198" i="1"/>
  <c r="B1198" i="1"/>
  <c r="A1198" i="1"/>
  <c r="J1197" i="1"/>
  <c r="G1197" i="1"/>
  <c r="F1197" i="1"/>
  <c r="E1197" i="1"/>
  <c r="D1197" i="1"/>
  <c r="C1197" i="1"/>
  <c r="B1197" i="1"/>
  <c r="A1197" i="1"/>
  <c r="J1196" i="1"/>
  <c r="G1196" i="1"/>
  <c r="F1196" i="1"/>
  <c r="E1196" i="1"/>
  <c r="D1196" i="1"/>
  <c r="C1196" i="1"/>
  <c r="B1196" i="1"/>
  <c r="A1196" i="1"/>
  <c r="J1195" i="1"/>
  <c r="I1195" i="1"/>
  <c r="H1195" i="1"/>
  <c r="G1195" i="1"/>
  <c r="F1195" i="1"/>
  <c r="E1195" i="1"/>
  <c r="C1195" i="1"/>
  <c r="B1195" i="1"/>
  <c r="A1195" i="1"/>
  <c r="J1194" i="1"/>
  <c r="G1194" i="1"/>
  <c r="F1194" i="1"/>
  <c r="E1194" i="1"/>
  <c r="D1194" i="1"/>
  <c r="C1194" i="1"/>
  <c r="B1194" i="1"/>
  <c r="A1194" i="1"/>
  <c r="J1193" i="1"/>
  <c r="G1193" i="1"/>
  <c r="F1193" i="1"/>
  <c r="E1193" i="1"/>
  <c r="D1193" i="1"/>
  <c r="C1193" i="1"/>
  <c r="B1193" i="1"/>
  <c r="A1193" i="1"/>
  <c r="J1192" i="1"/>
  <c r="G1192" i="1"/>
  <c r="F1192" i="1"/>
  <c r="E1192" i="1"/>
  <c r="D1192" i="1"/>
  <c r="C1192" i="1"/>
  <c r="B1192" i="1"/>
  <c r="A1192" i="1"/>
  <c r="J1191" i="1"/>
  <c r="G1191" i="1"/>
  <c r="F1191" i="1"/>
  <c r="E1191" i="1"/>
  <c r="D1191" i="1"/>
  <c r="C1191" i="1"/>
  <c r="B1191" i="1"/>
  <c r="A1191" i="1"/>
  <c r="J1190" i="1"/>
  <c r="G1190" i="1"/>
  <c r="F1190" i="1"/>
  <c r="E1190" i="1"/>
  <c r="D1190" i="1"/>
  <c r="C1190" i="1"/>
  <c r="B1190" i="1"/>
  <c r="A1190" i="1"/>
  <c r="J1189" i="1"/>
  <c r="G1189" i="1"/>
  <c r="F1189" i="1"/>
  <c r="E1189" i="1"/>
  <c r="D1189" i="1"/>
  <c r="C1189" i="1"/>
  <c r="B1189" i="1"/>
  <c r="A1189" i="1"/>
  <c r="J1188" i="1"/>
  <c r="G1188" i="1"/>
  <c r="F1188" i="1"/>
  <c r="E1188" i="1"/>
  <c r="D1188" i="1"/>
  <c r="C1188" i="1"/>
  <c r="B1188" i="1"/>
  <c r="A1188" i="1"/>
  <c r="J1187" i="1"/>
  <c r="G1187" i="1"/>
  <c r="F1187" i="1"/>
  <c r="E1187" i="1"/>
  <c r="D1187" i="1"/>
  <c r="C1187" i="1"/>
  <c r="B1187" i="1"/>
  <c r="A1187" i="1"/>
  <c r="J1186" i="1"/>
  <c r="G1186" i="1"/>
  <c r="F1186" i="1"/>
  <c r="E1186" i="1"/>
  <c r="D1186" i="1"/>
  <c r="C1186" i="1"/>
  <c r="B1186" i="1"/>
  <c r="A1186" i="1"/>
  <c r="J1185" i="1"/>
  <c r="G1185" i="1"/>
  <c r="F1185" i="1"/>
  <c r="E1185" i="1"/>
  <c r="D1185" i="1"/>
  <c r="C1185" i="1"/>
  <c r="B1185" i="1"/>
  <c r="A1185" i="1"/>
  <c r="J1184" i="1"/>
  <c r="G1184" i="1"/>
  <c r="F1184" i="1"/>
  <c r="E1184" i="1"/>
  <c r="D1184" i="1"/>
  <c r="C1184" i="1"/>
  <c r="B1184" i="1"/>
  <c r="A1184" i="1"/>
  <c r="J1183" i="1"/>
  <c r="G1183" i="1"/>
  <c r="F1183" i="1"/>
  <c r="E1183" i="1"/>
  <c r="D1183" i="1"/>
  <c r="C1183" i="1"/>
  <c r="B1183" i="1"/>
  <c r="A1183" i="1"/>
  <c r="J1182" i="1"/>
  <c r="G1182" i="1"/>
  <c r="F1182" i="1"/>
  <c r="E1182" i="1"/>
  <c r="D1182" i="1"/>
  <c r="C1182" i="1"/>
  <c r="B1182" i="1"/>
  <c r="A1182" i="1"/>
  <c r="J1181" i="1"/>
  <c r="G1181" i="1"/>
  <c r="F1181" i="1"/>
  <c r="E1181" i="1"/>
  <c r="D1181" i="1"/>
  <c r="C1181" i="1"/>
  <c r="B1181" i="1"/>
  <c r="A1181" i="1"/>
  <c r="J1180" i="1"/>
  <c r="G1180" i="1"/>
  <c r="F1180" i="1"/>
  <c r="E1180" i="1"/>
  <c r="D1180" i="1"/>
  <c r="C1180" i="1"/>
  <c r="B1180" i="1"/>
  <c r="A1180" i="1"/>
  <c r="J1179" i="1"/>
  <c r="G1179" i="1"/>
  <c r="F1179" i="1"/>
  <c r="E1179" i="1"/>
  <c r="D1179" i="1"/>
  <c r="C1179" i="1"/>
  <c r="B1179" i="1"/>
  <c r="A1179" i="1"/>
  <c r="J1178" i="1"/>
  <c r="G1178" i="1"/>
  <c r="F1178" i="1"/>
  <c r="E1178" i="1"/>
  <c r="D1178" i="1"/>
  <c r="C1178" i="1"/>
  <c r="B1178" i="1"/>
  <c r="A1178" i="1"/>
  <c r="J1177" i="1"/>
  <c r="G1177" i="1"/>
  <c r="F1177" i="1"/>
  <c r="E1177" i="1"/>
  <c r="D1177" i="1"/>
  <c r="C1177" i="1"/>
  <c r="B1177" i="1"/>
  <c r="A1177" i="1"/>
  <c r="J1176" i="1"/>
  <c r="G1176" i="1"/>
  <c r="F1176" i="1"/>
  <c r="E1176" i="1"/>
  <c r="D1176" i="1"/>
  <c r="C1176" i="1"/>
  <c r="B1176" i="1"/>
  <c r="A1176" i="1"/>
  <c r="J1175" i="1"/>
  <c r="G1175" i="1"/>
  <c r="F1175" i="1"/>
  <c r="E1175" i="1"/>
  <c r="D1175" i="1"/>
  <c r="C1175" i="1"/>
  <c r="B1175" i="1"/>
  <c r="A1175" i="1"/>
  <c r="J1174" i="1"/>
  <c r="G1174" i="1"/>
  <c r="F1174" i="1"/>
  <c r="E1174" i="1"/>
  <c r="D1174" i="1"/>
  <c r="C1174" i="1"/>
  <c r="B1174" i="1"/>
  <c r="A1174" i="1"/>
  <c r="J1173" i="1"/>
  <c r="G1173" i="1"/>
  <c r="F1173" i="1"/>
  <c r="E1173" i="1"/>
  <c r="D1173" i="1"/>
  <c r="C1173" i="1"/>
  <c r="B1173" i="1"/>
  <c r="A1173" i="1"/>
  <c r="J1172" i="1"/>
  <c r="G1172" i="1"/>
  <c r="F1172" i="1"/>
  <c r="E1172" i="1"/>
  <c r="D1172" i="1"/>
  <c r="C1172" i="1"/>
  <c r="B1172" i="1"/>
  <c r="A1172" i="1"/>
  <c r="J1171" i="1"/>
  <c r="G1171" i="1"/>
  <c r="F1171" i="1"/>
  <c r="E1171" i="1"/>
  <c r="D1171" i="1"/>
  <c r="C1171" i="1"/>
  <c r="B1171" i="1"/>
  <c r="A1171" i="1"/>
  <c r="J1170" i="1"/>
  <c r="I1170" i="1"/>
  <c r="H1170" i="1"/>
  <c r="G1170" i="1"/>
  <c r="F1170" i="1"/>
  <c r="E1170" i="1"/>
  <c r="C1170" i="1"/>
  <c r="B1170" i="1"/>
  <c r="A1170" i="1"/>
  <c r="J1169" i="1"/>
  <c r="G1169" i="1"/>
  <c r="F1169" i="1"/>
  <c r="E1169" i="1"/>
  <c r="D1169" i="1"/>
  <c r="C1169" i="1"/>
  <c r="B1169" i="1"/>
  <c r="A1169" i="1"/>
  <c r="J1168" i="1"/>
  <c r="G1168" i="1"/>
  <c r="F1168" i="1"/>
  <c r="E1168" i="1"/>
  <c r="D1168" i="1"/>
  <c r="C1168" i="1"/>
  <c r="B1168" i="1"/>
  <c r="A1168" i="1"/>
  <c r="J1167" i="1"/>
  <c r="G1167" i="1"/>
  <c r="F1167" i="1"/>
  <c r="E1167" i="1"/>
  <c r="D1167" i="1"/>
  <c r="C1167" i="1"/>
  <c r="B1167" i="1"/>
  <c r="A1167" i="1"/>
  <c r="J1166" i="1"/>
  <c r="G1166" i="1"/>
  <c r="F1166" i="1"/>
  <c r="E1166" i="1"/>
  <c r="D1166" i="1"/>
  <c r="C1166" i="1"/>
  <c r="B1166" i="1"/>
  <c r="A1166" i="1"/>
  <c r="J1165" i="1"/>
  <c r="G1165" i="1"/>
  <c r="F1165" i="1"/>
  <c r="E1165" i="1"/>
  <c r="D1165" i="1"/>
  <c r="C1165" i="1"/>
  <c r="B1165" i="1"/>
  <c r="A1165" i="1"/>
  <c r="J1164" i="1"/>
  <c r="G1164" i="1"/>
  <c r="F1164" i="1"/>
  <c r="E1164" i="1"/>
  <c r="D1164" i="1"/>
  <c r="C1164" i="1"/>
  <c r="B1164" i="1"/>
  <c r="A1164" i="1"/>
  <c r="J1163" i="1"/>
  <c r="G1163" i="1"/>
  <c r="F1163" i="1"/>
  <c r="E1163" i="1"/>
  <c r="D1163" i="1"/>
  <c r="C1163" i="1"/>
  <c r="B1163" i="1"/>
  <c r="A1163" i="1"/>
  <c r="J1162" i="1"/>
  <c r="G1162" i="1"/>
  <c r="F1162" i="1"/>
  <c r="E1162" i="1"/>
  <c r="D1162" i="1"/>
  <c r="C1162" i="1"/>
  <c r="B1162" i="1"/>
  <c r="A1162" i="1"/>
  <c r="J1161" i="1"/>
  <c r="G1161" i="1"/>
  <c r="F1161" i="1"/>
  <c r="E1161" i="1"/>
  <c r="D1161" i="1"/>
  <c r="C1161" i="1"/>
  <c r="B1161" i="1"/>
  <c r="A1161" i="1"/>
  <c r="J1160" i="1"/>
  <c r="G1160" i="1"/>
  <c r="F1160" i="1"/>
  <c r="E1160" i="1"/>
  <c r="D1160" i="1"/>
  <c r="C1160" i="1"/>
  <c r="B1160" i="1"/>
  <c r="A1160" i="1"/>
  <c r="J1159" i="1"/>
  <c r="G1159" i="1"/>
  <c r="F1159" i="1"/>
  <c r="E1159" i="1"/>
  <c r="D1159" i="1"/>
  <c r="C1159" i="1"/>
  <c r="B1159" i="1"/>
  <c r="A1159" i="1"/>
  <c r="J1158" i="1"/>
  <c r="G1158" i="1"/>
  <c r="F1158" i="1"/>
  <c r="E1158" i="1"/>
  <c r="D1158" i="1"/>
  <c r="C1158" i="1"/>
  <c r="B1158" i="1"/>
  <c r="A1158" i="1"/>
  <c r="J1157" i="1"/>
  <c r="G1157" i="1"/>
  <c r="F1157" i="1"/>
  <c r="E1157" i="1"/>
  <c r="D1157" i="1"/>
  <c r="C1157" i="1"/>
  <c r="B1157" i="1"/>
  <c r="A1157" i="1"/>
  <c r="J1156" i="1"/>
  <c r="G1156" i="1"/>
  <c r="F1156" i="1"/>
  <c r="E1156" i="1"/>
  <c r="D1156" i="1"/>
  <c r="C1156" i="1"/>
  <c r="B1156" i="1"/>
  <c r="A1156" i="1"/>
  <c r="J1155" i="1"/>
  <c r="G1155" i="1"/>
  <c r="F1155" i="1"/>
  <c r="E1155" i="1"/>
  <c r="D1155" i="1"/>
  <c r="C1155" i="1"/>
  <c r="B1155" i="1"/>
  <c r="A1155" i="1"/>
  <c r="J1154" i="1"/>
  <c r="G1154" i="1"/>
  <c r="F1154" i="1"/>
  <c r="E1154" i="1"/>
  <c r="D1154" i="1"/>
  <c r="C1154" i="1"/>
  <c r="B1154" i="1"/>
  <c r="A1154" i="1"/>
  <c r="J1153" i="1"/>
  <c r="G1153" i="1"/>
  <c r="F1153" i="1"/>
  <c r="E1153" i="1"/>
  <c r="D1153" i="1"/>
  <c r="C1153" i="1"/>
  <c r="B1153" i="1"/>
  <c r="A1153" i="1"/>
  <c r="J1152" i="1"/>
  <c r="G1152" i="1"/>
  <c r="F1152" i="1"/>
  <c r="E1152" i="1"/>
  <c r="D1152" i="1"/>
  <c r="C1152" i="1"/>
  <c r="B1152" i="1"/>
  <c r="A1152" i="1"/>
  <c r="J1151" i="1"/>
  <c r="G1151" i="1"/>
  <c r="F1151" i="1"/>
  <c r="E1151" i="1"/>
  <c r="D1151" i="1"/>
  <c r="C1151" i="1"/>
  <c r="B1151" i="1"/>
  <c r="A1151" i="1"/>
  <c r="J1150" i="1"/>
  <c r="G1150" i="1"/>
  <c r="F1150" i="1"/>
  <c r="E1150" i="1"/>
  <c r="D1150" i="1"/>
  <c r="C1150" i="1"/>
  <c r="B1150" i="1"/>
  <c r="A1150" i="1"/>
  <c r="J1149" i="1"/>
  <c r="G1149" i="1"/>
  <c r="F1149" i="1"/>
  <c r="E1149" i="1"/>
  <c r="D1149" i="1"/>
  <c r="C1149" i="1"/>
  <c r="B1149" i="1"/>
  <c r="A1149" i="1"/>
  <c r="J1148" i="1"/>
  <c r="G1148" i="1"/>
  <c r="F1148" i="1"/>
  <c r="E1148" i="1"/>
  <c r="D1148" i="1"/>
  <c r="C1148" i="1"/>
  <c r="B1148" i="1"/>
  <c r="A1148" i="1"/>
  <c r="J1147" i="1"/>
  <c r="G1147" i="1"/>
  <c r="F1147" i="1"/>
  <c r="E1147" i="1"/>
  <c r="D1147" i="1"/>
  <c r="C1147" i="1"/>
  <c r="B1147" i="1"/>
  <c r="A1147" i="1"/>
  <c r="J1146" i="1"/>
  <c r="G1146" i="1"/>
  <c r="F1146" i="1"/>
  <c r="E1146" i="1"/>
  <c r="C1146" i="1"/>
  <c r="B1146" i="1"/>
  <c r="A1146" i="1"/>
  <c r="J1145" i="1"/>
  <c r="G1145" i="1"/>
  <c r="F1145" i="1"/>
  <c r="E1145" i="1"/>
  <c r="D1145" i="1"/>
  <c r="C1145" i="1"/>
  <c r="B1145" i="1"/>
  <c r="A1145" i="1"/>
  <c r="J1144" i="1"/>
  <c r="G1144" i="1"/>
  <c r="F1144" i="1"/>
  <c r="E1144" i="1"/>
  <c r="D1144" i="1"/>
  <c r="C1144" i="1"/>
  <c r="B1144" i="1"/>
  <c r="A1144" i="1"/>
  <c r="J1143" i="1"/>
  <c r="G1143" i="1"/>
  <c r="F1143" i="1"/>
  <c r="E1143" i="1"/>
  <c r="D1143" i="1"/>
  <c r="C1143" i="1"/>
  <c r="B1143" i="1"/>
  <c r="A1143" i="1"/>
  <c r="J1142" i="1"/>
  <c r="G1142" i="1"/>
  <c r="F1142" i="1"/>
  <c r="E1142" i="1"/>
  <c r="D1142" i="1"/>
  <c r="C1142" i="1"/>
  <c r="B1142" i="1"/>
  <c r="A1142" i="1"/>
  <c r="J1141" i="1"/>
  <c r="G1141" i="1"/>
  <c r="F1141" i="1"/>
  <c r="E1141" i="1"/>
  <c r="D1141" i="1"/>
  <c r="C1141" i="1"/>
  <c r="B1141" i="1"/>
  <c r="A1141" i="1"/>
  <c r="J1140" i="1"/>
  <c r="G1140" i="1"/>
  <c r="F1140" i="1"/>
  <c r="E1140" i="1"/>
  <c r="D1140" i="1"/>
  <c r="C1140" i="1"/>
  <c r="B1140" i="1"/>
  <c r="A1140" i="1"/>
  <c r="J1139" i="1"/>
  <c r="G1139" i="1"/>
  <c r="F1139" i="1"/>
  <c r="E1139" i="1"/>
  <c r="D1139" i="1"/>
  <c r="C1139" i="1"/>
  <c r="B1139" i="1"/>
  <c r="A1139" i="1"/>
  <c r="J1138" i="1"/>
  <c r="G1138" i="1"/>
  <c r="F1138" i="1"/>
  <c r="E1138" i="1"/>
  <c r="D1138" i="1"/>
  <c r="C1138" i="1"/>
  <c r="B1138" i="1"/>
  <c r="A1138" i="1"/>
  <c r="J1137" i="1"/>
  <c r="G1137" i="1"/>
  <c r="F1137" i="1"/>
  <c r="E1137" i="1"/>
  <c r="D1137" i="1"/>
  <c r="C1137" i="1"/>
  <c r="B1137" i="1"/>
  <c r="A1137" i="1"/>
  <c r="J1136" i="1"/>
  <c r="G1136" i="1"/>
  <c r="F1136" i="1"/>
  <c r="E1136" i="1"/>
  <c r="D1136" i="1"/>
  <c r="C1136" i="1"/>
  <c r="B1136" i="1"/>
  <c r="A1136" i="1"/>
  <c r="J1135" i="1"/>
  <c r="G1135" i="1"/>
  <c r="F1135" i="1"/>
  <c r="E1135" i="1"/>
  <c r="D1135" i="1"/>
  <c r="C1135" i="1"/>
  <c r="B1135" i="1"/>
  <c r="A1135" i="1"/>
  <c r="J1134" i="1"/>
  <c r="G1134" i="1"/>
  <c r="F1134" i="1"/>
  <c r="E1134" i="1"/>
  <c r="D1134" i="1"/>
  <c r="C1134" i="1"/>
  <c r="B1134" i="1"/>
  <c r="A1134" i="1"/>
  <c r="J1133" i="1"/>
  <c r="G1133" i="1"/>
  <c r="F1133" i="1"/>
  <c r="E1133" i="1"/>
  <c r="D1133" i="1"/>
  <c r="C1133" i="1"/>
  <c r="B1133" i="1"/>
  <c r="A1133" i="1"/>
  <c r="J1132" i="1"/>
  <c r="G1132" i="1"/>
  <c r="F1132" i="1"/>
  <c r="E1132" i="1"/>
  <c r="D1132" i="1"/>
  <c r="C1132" i="1"/>
  <c r="B1132" i="1"/>
  <c r="A1132" i="1"/>
  <c r="J1131" i="1"/>
  <c r="G1131" i="1"/>
  <c r="F1131" i="1"/>
  <c r="E1131" i="1"/>
  <c r="D1131" i="1"/>
  <c r="C1131" i="1"/>
  <c r="B1131" i="1"/>
  <c r="A1131" i="1"/>
  <c r="J1130" i="1"/>
  <c r="G1130" i="1"/>
  <c r="F1130" i="1"/>
  <c r="E1130" i="1"/>
  <c r="D1130" i="1"/>
  <c r="C1130" i="1"/>
  <c r="B1130" i="1"/>
  <c r="A1130" i="1"/>
  <c r="J1129" i="1"/>
  <c r="G1129" i="1"/>
  <c r="F1129" i="1"/>
  <c r="E1129" i="1"/>
  <c r="D1129" i="1"/>
  <c r="C1129" i="1"/>
  <c r="B1129" i="1"/>
  <c r="A1129" i="1"/>
  <c r="J1128" i="1"/>
  <c r="G1128" i="1"/>
  <c r="F1128" i="1"/>
  <c r="E1128" i="1"/>
  <c r="D1128" i="1"/>
  <c r="C1128" i="1"/>
  <c r="B1128" i="1"/>
  <c r="A1128" i="1"/>
  <c r="J1127" i="1"/>
  <c r="G1127" i="1"/>
  <c r="F1127" i="1"/>
  <c r="E1127" i="1"/>
  <c r="D1127" i="1"/>
  <c r="C1127" i="1"/>
  <c r="B1127" i="1"/>
  <c r="A1127" i="1"/>
  <c r="J1126" i="1"/>
  <c r="G1126" i="1"/>
  <c r="F1126" i="1"/>
  <c r="E1126" i="1"/>
  <c r="D1126" i="1"/>
  <c r="C1126" i="1"/>
  <c r="B1126" i="1"/>
  <c r="A1126" i="1"/>
  <c r="J1125" i="1"/>
  <c r="G1125" i="1"/>
  <c r="F1125" i="1"/>
  <c r="E1125" i="1"/>
  <c r="D1125" i="1"/>
  <c r="C1125" i="1"/>
  <c r="B1125" i="1"/>
  <c r="A1125" i="1"/>
  <c r="J1124" i="1"/>
  <c r="G1124" i="1"/>
  <c r="F1124" i="1"/>
  <c r="E1124" i="1"/>
  <c r="D1124" i="1"/>
  <c r="C1124" i="1"/>
  <c r="B1124" i="1"/>
  <c r="A1124" i="1"/>
  <c r="J1123" i="1"/>
  <c r="G1123" i="1"/>
  <c r="F1123" i="1"/>
  <c r="E1123" i="1"/>
  <c r="D1123" i="1"/>
  <c r="C1123" i="1"/>
  <c r="B1123" i="1"/>
  <c r="A1123" i="1"/>
  <c r="J1122" i="1"/>
  <c r="G1122" i="1"/>
  <c r="F1122" i="1"/>
  <c r="E1122" i="1"/>
  <c r="D1122" i="1"/>
  <c r="C1122" i="1"/>
  <c r="B1122" i="1"/>
  <c r="A1122" i="1"/>
  <c r="J1121" i="1"/>
  <c r="G1121" i="1"/>
  <c r="F1121" i="1"/>
  <c r="E1121" i="1"/>
  <c r="D1121" i="1"/>
  <c r="C1121" i="1"/>
  <c r="B1121" i="1"/>
  <c r="A1121" i="1"/>
  <c r="J1120" i="1"/>
  <c r="G1120" i="1"/>
  <c r="F1120" i="1"/>
  <c r="E1120" i="1"/>
  <c r="D1120" i="1"/>
  <c r="C1120" i="1"/>
  <c r="B1120" i="1"/>
  <c r="A1120" i="1"/>
  <c r="J1119" i="1"/>
  <c r="G1119" i="1"/>
  <c r="F1119" i="1"/>
  <c r="E1119" i="1"/>
  <c r="D1119" i="1"/>
  <c r="C1119" i="1"/>
  <c r="B1119" i="1"/>
  <c r="A1119" i="1"/>
  <c r="J1118" i="1"/>
  <c r="G1118" i="1"/>
  <c r="F1118" i="1"/>
  <c r="E1118" i="1"/>
  <c r="D1118" i="1"/>
  <c r="C1118" i="1"/>
  <c r="B1118" i="1"/>
  <c r="A1118" i="1"/>
  <c r="J1117" i="1"/>
  <c r="G1117" i="1"/>
  <c r="F1117" i="1"/>
  <c r="E1117" i="1"/>
  <c r="D1117" i="1"/>
  <c r="C1117" i="1"/>
  <c r="B1117" i="1"/>
  <c r="A1117" i="1"/>
  <c r="J1116" i="1"/>
  <c r="G1116" i="1"/>
  <c r="F1116" i="1"/>
  <c r="E1116" i="1"/>
  <c r="D1116" i="1"/>
  <c r="C1116" i="1"/>
  <c r="B1116" i="1"/>
  <c r="A1116" i="1"/>
  <c r="J1115" i="1"/>
  <c r="G1115" i="1"/>
  <c r="F1115" i="1"/>
  <c r="E1115" i="1"/>
  <c r="D1115" i="1"/>
  <c r="C1115" i="1"/>
  <c r="B1115" i="1"/>
  <c r="A1115" i="1"/>
  <c r="J1114" i="1"/>
  <c r="G1114" i="1"/>
  <c r="F1114" i="1"/>
  <c r="E1114" i="1"/>
  <c r="D1114" i="1"/>
  <c r="C1114" i="1"/>
  <c r="B1114" i="1"/>
  <c r="A1114" i="1"/>
  <c r="J1113" i="1"/>
  <c r="G1113" i="1"/>
  <c r="F1113" i="1"/>
  <c r="E1113" i="1"/>
  <c r="D1113" i="1"/>
  <c r="C1113" i="1"/>
  <c r="B1113" i="1"/>
  <c r="A1113" i="1"/>
  <c r="J1112" i="1"/>
  <c r="G1112" i="1"/>
  <c r="F1112" i="1"/>
  <c r="E1112" i="1"/>
  <c r="D1112" i="1"/>
  <c r="C1112" i="1"/>
  <c r="B1112" i="1"/>
  <c r="A1112" i="1"/>
  <c r="J1111" i="1"/>
  <c r="G1111" i="1"/>
  <c r="F1111" i="1"/>
  <c r="E1111" i="1"/>
  <c r="D1111" i="1"/>
  <c r="C1111" i="1"/>
  <c r="B1111" i="1"/>
  <c r="A1111" i="1"/>
  <c r="J1110" i="1"/>
  <c r="G1110" i="1"/>
  <c r="F1110" i="1"/>
  <c r="E1110" i="1"/>
  <c r="D1110" i="1"/>
  <c r="C1110" i="1"/>
  <c r="B1110" i="1"/>
  <c r="A1110" i="1"/>
  <c r="J1109" i="1"/>
  <c r="G1109" i="1"/>
  <c r="F1109" i="1"/>
  <c r="E1109" i="1"/>
  <c r="D1109" i="1"/>
  <c r="C1109" i="1"/>
  <c r="B1109" i="1"/>
  <c r="A1109" i="1"/>
  <c r="J1108" i="1"/>
  <c r="G1108" i="1"/>
  <c r="F1108" i="1"/>
  <c r="E1108" i="1"/>
  <c r="D1108" i="1"/>
  <c r="C1108" i="1"/>
  <c r="B1108" i="1"/>
  <c r="A1108" i="1"/>
  <c r="J1107" i="1"/>
  <c r="G1107" i="1"/>
  <c r="F1107" i="1"/>
  <c r="E1107" i="1"/>
  <c r="D1107" i="1"/>
  <c r="C1107" i="1"/>
  <c r="B1107" i="1"/>
  <c r="A1107" i="1"/>
  <c r="J1106" i="1"/>
  <c r="G1106" i="1"/>
  <c r="F1106" i="1"/>
  <c r="E1106" i="1"/>
  <c r="D1106" i="1"/>
  <c r="C1106" i="1"/>
  <c r="B1106" i="1"/>
  <c r="A1106" i="1"/>
  <c r="J1105" i="1"/>
  <c r="G1105" i="1"/>
  <c r="F1105" i="1"/>
  <c r="E1105" i="1"/>
  <c r="D1105" i="1"/>
  <c r="C1105" i="1"/>
  <c r="B1105" i="1"/>
  <c r="A1105" i="1"/>
  <c r="J1104" i="1"/>
  <c r="G1104" i="1"/>
  <c r="F1104" i="1"/>
  <c r="E1104" i="1"/>
  <c r="C1104" i="1"/>
  <c r="B1104" i="1"/>
  <c r="A1104" i="1"/>
  <c r="J1103" i="1"/>
  <c r="G1103" i="1"/>
  <c r="F1103" i="1"/>
  <c r="E1103" i="1"/>
  <c r="D1103" i="1"/>
  <c r="C1103" i="1"/>
  <c r="B1103" i="1"/>
  <c r="A1103" i="1"/>
  <c r="J1102" i="1"/>
  <c r="G1102" i="1"/>
  <c r="F1102" i="1"/>
  <c r="E1102" i="1"/>
  <c r="D1102" i="1"/>
  <c r="C1102" i="1"/>
  <c r="B1102" i="1"/>
  <c r="A1102" i="1"/>
  <c r="J1101" i="1"/>
  <c r="G1101" i="1"/>
  <c r="F1101" i="1"/>
  <c r="E1101" i="1"/>
  <c r="D1101" i="1"/>
  <c r="C1101" i="1"/>
  <c r="B1101" i="1"/>
  <c r="A1101" i="1"/>
  <c r="J1100" i="1"/>
  <c r="G1100" i="1"/>
  <c r="F1100" i="1"/>
  <c r="E1100" i="1"/>
  <c r="D1100" i="1"/>
  <c r="C1100" i="1"/>
  <c r="B1100" i="1"/>
  <c r="A1100" i="1"/>
  <c r="J1099" i="1"/>
  <c r="G1099" i="1"/>
  <c r="F1099" i="1"/>
  <c r="E1099" i="1"/>
  <c r="D1099" i="1"/>
  <c r="C1099" i="1"/>
  <c r="B1099" i="1"/>
  <c r="A1099" i="1"/>
  <c r="J1098" i="1"/>
  <c r="G1098" i="1"/>
  <c r="F1098" i="1"/>
  <c r="E1098" i="1"/>
  <c r="D1098" i="1"/>
  <c r="C1098" i="1"/>
  <c r="B1098" i="1"/>
  <c r="A1098" i="1"/>
  <c r="J1097" i="1"/>
  <c r="G1097" i="1"/>
  <c r="F1097" i="1"/>
  <c r="E1097" i="1"/>
  <c r="D1097" i="1"/>
  <c r="C1097" i="1"/>
  <c r="B1097" i="1"/>
  <c r="A1097" i="1"/>
  <c r="J1096" i="1"/>
  <c r="G1096" i="1"/>
  <c r="F1096" i="1"/>
  <c r="E1096" i="1"/>
  <c r="C1096" i="1"/>
  <c r="B1096" i="1"/>
  <c r="A1096" i="1"/>
  <c r="J1095" i="1"/>
  <c r="G1095" i="1"/>
  <c r="F1095" i="1"/>
  <c r="E1095" i="1"/>
  <c r="D1095" i="1"/>
  <c r="C1095" i="1"/>
  <c r="B1095" i="1"/>
  <c r="A1095" i="1"/>
  <c r="J1094" i="1"/>
  <c r="G1094" i="1"/>
  <c r="F1094" i="1"/>
  <c r="E1094" i="1"/>
  <c r="D1094" i="1"/>
  <c r="C1094" i="1"/>
  <c r="B1094" i="1"/>
  <c r="A1094" i="1"/>
  <c r="J1093" i="1"/>
  <c r="G1093" i="1"/>
  <c r="F1093" i="1"/>
  <c r="E1093" i="1"/>
  <c r="D1093" i="1"/>
  <c r="C1093" i="1"/>
  <c r="B1093" i="1"/>
  <c r="A1093" i="1"/>
  <c r="J1092" i="1"/>
  <c r="G1092" i="1"/>
  <c r="F1092" i="1"/>
  <c r="E1092" i="1"/>
  <c r="D1092" i="1"/>
  <c r="C1092" i="1"/>
  <c r="B1092" i="1"/>
  <c r="A1092" i="1"/>
  <c r="J1091" i="1"/>
  <c r="G1091" i="1"/>
  <c r="F1091" i="1"/>
  <c r="E1091" i="1"/>
  <c r="D1091" i="1"/>
  <c r="C1091" i="1"/>
  <c r="B1091" i="1"/>
  <c r="A1091" i="1"/>
  <c r="J1090" i="1"/>
  <c r="G1090" i="1"/>
  <c r="F1090" i="1"/>
  <c r="E1090" i="1"/>
  <c r="D1090" i="1"/>
  <c r="C1090" i="1"/>
  <c r="B1090" i="1"/>
  <c r="A1090" i="1"/>
  <c r="J1089" i="1"/>
  <c r="G1089" i="1"/>
  <c r="F1089" i="1"/>
  <c r="E1089" i="1"/>
  <c r="D1089" i="1"/>
  <c r="C1089" i="1"/>
  <c r="B1089" i="1"/>
  <c r="A1089" i="1"/>
  <c r="J1088" i="1"/>
  <c r="G1088" i="1"/>
  <c r="F1088" i="1"/>
  <c r="E1088" i="1"/>
  <c r="D1088" i="1"/>
  <c r="C1088" i="1"/>
  <c r="B1088" i="1"/>
  <c r="A1088" i="1"/>
  <c r="J1087" i="1"/>
  <c r="G1087" i="1"/>
  <c r="F1087" i="1"/>
  <c r="E1087" i="1"/>
  <c r="D1087" i="1"/>
  <c r="C1087" i="1"/>
  <c r="B1087" i="1"/>
  <c r="A1087" i="1"/>
  <c r="J1086" i="1"/>
  <c r="G1086" i="1"/>
  <c r="F1086" i="1"/>
  <c r="E1086" i="1"/>
  <c r="D1086" i="1"/>
  <c r="C1086" i="1"/>
  <c r="B1086" i="1"/>
  <c r="A1086" i="1"/>
  <c r="J1085" i="1"/>
  <c r="G1085" i="1"/>
  <c r="F1085" i="1"/>
  <c r="E1085" i="1"/>
  <c r="D1085" i="1"/>
  <c r="C1085" i="1"/>
  <c r="B1085" i="1"/>
  <c r="A1085" i="1"/>
  <c r="J1084" i="1"/>
  <c r="G1084" i="1"/>
  <c r="F1084" i="1"/>
  <c r="E1084" i="1"/>
  <c r="D1084" i="1"/>
  <c r="C1084" i="1"/>
  <c r="B1084" i="1"/>
  <c r="A1084" i="1"/>
  <c r="J1083" i="1"/>
  <c r="G1083" i="1"/>
  <c r="F1083" i="1"/>
  <c r="E1083" i="1"/>
  <c r="D1083" i="1"/>
  <c r="C1083" i="1"/>
  <c r="B1083" i="1"/>
  <c r="A1083" i="1"/>
  <c r="J1082" i="1"/>
  <c r="G1082" i="1"/>
  <c r="F1082" i="1"/>
  <c r="E1082" i="1"/>
  <c r="D1082" i="1"/>
  <c r="C1082" i="1"/>
  <c r="B1082" i="1"/>
  <c r="A1082" i="1"/>
  <c r="J1081" i="1"/>
  <c r="G1081" i="1"/>
  <c r="F1081" i="1"/>
  <c r="E1081" i="1"/>
  <c r="D1081" i="1"/>
  <c r="C1081" i="1"/>
  <c r="B1081" i="1"/>
  <c r="A1081" i="1"/>
  <c r="J1080" i="1"/>
  <c r="G1080" i="1"/>
  <c r="F1080" i="1"/>
  <c r="E1080" i="1"/>
  <c r="D1080" i="1"/>
  <c r="C1080" i="1"/>
  <c r="B1080" i="1"/>
  <c r="A1080" i="1"/>
  <c r="J1079" i="1"/>
  <c r="G1079" i="1"/>
  <c r="F1079" i="1"/>
  <c r="E1079" i="1"/>
  <c r="D1079" i="1"/>
  <c r="C1079" i="1"/>
  <c r="B1079" i="1"/>
  <c r="A1079" i="1"/>
  <c r="J1078" i="1"/>
  <c r="G1078" i="1"/>
  <c r="F1078" i="1"/>
  <c r="E1078" i="1"/>
  <c r="D1078" i="1"/>
  <c r="C1078" i="1"/>
  <c r="B1078" i="1"/>
  <c r="A1078" i="1"/>
  <c r="J1077" i="1"/>
  <c r="G1077" i="1"/>
  <c r="F1077" i="1"/>
  <c r="E1077" i="1"/>
  <c r="D1077" i="1"/>
  <c r="C1077" i="1"/>
  <c r="B1077" i="1"/>
  <c r="A1077" i="1"/>
  <c r="J1076" i="1"/>
  <c r="G1076" i="1"/>
  <c r="F1076" i="1"/>
  <c r="E1076" i="1"/>
  <c r="D1076" i="1"/>
  <c r="C1076" i="1"/>
  <c r="B1076" i="1"/>
  <c r="A1076" i="1"/>
  <c r="J1075" i="1"/>
  <c r="G1075" i="1"/>
  <c r="F1075" i="1"/>
  <c r="E1075" i="1"/>
  <c r="D1075" i="1"/>
  <c r="C1075" i="1"/>
  <c r="B1075" i="1"/>
  <c r="A1075" i="1"/>
  <c r="J1074" i="1"/>
  <c r="G1074" i="1"/>
  <c r="F1074" i="1"/>
  <c r="E1074" i="1"/>
  <c r="D1074" i="1"/>
  <c r="C1074" i="1"/>
  <c r="B1074" i="1"/>
  <c r="A1074" i="1"/>
  <c r="J1073" i="1"/>
  <c r="G1073" i="1"/>
  <c r="F1073" i="1"/>
  <c r="E1073" i="1"/>
  <c r="D1073" i="1"/>
  <c r="C1073" i="1"/>
  <c r="B1073" i="1"/>
  <c r="A1073" i="1"/>
  <c r="J1072" i="1"/>
  <c r="G1072" i="1"/>
  <c r="F1072" i="1"/>
  <c r="E1072" i="1"/>
  <c r="D1072" i="1"/>
  <c r="C1072" i="1"/>
  <c r="B1072" i="1"/>
  <c r="A1072" i="1"/>
  <c r="J1071" i="1"/>
  <c r="G1071" i="1"/>
  <c r="F1071" i="1"/>
  <c r="E1071" i="1"/>
  <c r="D1071" i="1"/>
  <c r="C1071" i="1"/>
  <c r="B1071" i="1"/>
  <c r="A1071" i="1"/>
  <c r="J1070" i="1"/>
  <c r="G1070" i="1"/>
  <c r="F1070" i="1"/>
  <c r="E1070" i="1"/>
  <c r="D1070" i="1"/>
  <c r="C1070" i="1"/>
  <c r="B1070" i="1"/>
  <c r="A1070" i="1"/>
  <c r="J1069" i="1"/>
  <c r="G1069" i="1"/>
  <c r="F1069" i="1"/>
  <c r="E1069" i="1"/>
  <c r="D1069" i="1"/>
  <c r="C1069" i="1"/>
  <c r="B1069" i="1"/>
  <c r="A1069" i="1"/>
  <c r="J1068" i="1"/>
  <c r="G1068" i="1"/>
  <c r="F1068" i="1"/>
  <c r="E1068" i="1"/>
  <c r="D1068" i="1"/>
  <c r="C1068" i="1"/>
  <c r="B1068" i="1"/>
  <c r="A1068" i="1"/>
  <c r="J1067" i="1"/>
  <c r="G1067" i="1"/>
  <c r="F1067" i="1"/>
  <c r="E1067" i="1"/>
  <c r="D1067" i="1"/>
  <c r="C1067" i="1"/>
  <c r="B1067" i="1"/>
  <c r="A1067" i="1"/>
  <c r="J1066" i="1"/>
  <c r="G1066" i="1"/>
  <c r="F1066" i="1"/>
  <c r="E1066" i="1"/>
  <c r="D1066" i="1"/>
  <c r="C1066" i="1"/>
  <c r="B1066" i="1"/>
  <c r="A1066" i="1"/>
  <c r="J1065" i="1"/>
  <c r="G1065" i="1"/>
  <c r="F1065" i="1"/>
  <c r="E1065" i="1"/>
  <c r="D1065" i="1"/>
  <c r="C1065" i="1"/>
  <c r="B1065" i="1"/>
  <c r="A1065" i="1"/>
  <c r="J1064" i="1"/>
  <c r="G1064" i="1"/>
  <c r="F1064" i="1"/>
  <c r="E1064" i="1"/>
  <c r="D1064" i="1"/>
  <c r="C1064" i="1"/>
  <c r="B1064" i="1"/>
  <c r="A1064" i="1"/>
  <c r="J1063" i="1"/>
  <c r="G1063" i="1"/>
  <c r="F1063" i="1"/>
  <c r="E1063" i="1"/>
  <c r="D1063" i="1"/>
  <c r="C1063" i="1"/>
  <c r="B1063" i="1"/>
  <c r="A1063" i="1"/>
  <c r="J1062" i="1"/>
  <c r="G1062" i="1"/>
  <c r="F1062" i="1"/>
  <c r="E1062" i="1"/>
  <c r="D1062" i="1"/>
  <c r="C1062" i="1"/>
  <c r="B1062" i="1"/>
  <c r="A1062" i="1"/>
  <c r="J1061" i="1"/>
  <c r="G1061" i="1"/>
  <c r="F1061" i="1"/>
  <c r="E1061" i="1"/>
  <c r="D1061" i="1"/>
  <c r="C1061" i="1"/>
  <c r="B1061" i="1"/>
  <c r="A1061" i="1"/>
  <c r="J1060" i="1"/>
  <c r="G1060" i="1"/>
  <c r="F1060" i="1"/>
  <c r="E1060" i="1"/>
  <c r="D1060" i="1"/>
  <c r="C1060" i="1"/>
  <c r="B1060" i="1"/>
  <c r="A1060" i="1"/>
  <c r="J1059" i="1"/>
  <c r="G1059" i="1"/>
  <c r="F1059" i="1"/>
  <c r="E1059" i="1"/>
  <c r="D1059" i="1"/>
  <c r="C1059" i="1"/>
  <c r="B1059" i="1"/>
  <c r="A1059" i="1"/>
  <c r="J1058" i="1"/>
  <c r="G1058" i="1"/>
  <c r="F1058" i="1"/>
  <c r="E1058" i="1"/>
  <c r="D1058" i="1"/>
  <c r="C1058" i="1"/>
  <c r="B1058" i="1"/>
  <c r="A1058" i="1"/>
  <c r="J1057" i="1"/>
  <c r="G1057" i="1"/>
  <c r="F1057" i="1"/>
  <c r="E1057" i="1"/>
  <c r="D1057" i="1"/>
  <c r="C1057" i="1"/>
  <c r="B1057" i="1"/>
  <c r="A1057" i="1"/>
  <c r="J1056" i="1"/>
  <c r="G1056" i="1"/>
  <c r="F1056" i="1"/>
  <c r="E1056" i="1"/>
  <c r="D1056" i="1"/>
  <c r="C1056" i="1"/>
  <c r="B1056" i="1"/>
  <c r="A1056" i="1"/>
  <c r="J1055" i="1"/>
  <c r="G1055" i="1"/>
  <c r="F1055" i="1"/>
  <c r="E1055" i="1"/>
  <c r="C1055" i="1"/>
  <c r="B1055" i="1"/>
  <c r="A1055" i="1"/>
  <c r="J1054" i="1"/>
  <c r="G1054" i="1"/>
  <c r="F1054" i="1"/>
  <c r="E1054" i="1"/>
  <c r="D1054" i="1"/>
  <c r="C1054" i="1"/>
  <c r="B1054" i="1"/>
  <c r="A1054" i="1"/>
  <c r="J1053" i="1"/>
  <c r="G1053" i="1"/>
  <c r="F1053" i="1"/>
  <c r="E1053" i="1"/>
  <c r="D1053" i="1"/>
  <c r="C1053" i="1"/>
  <c r="B1053" i="1"/>
  <c r="A1053" i="1"/>
  <c r="J1052" i="1"/>
  <c r="G1052" i="1"/>
  <c r="F1052" i="1"/>
  <c r="E1052" i="1"/>
  <c r="D1052" i="1"/>
  <c r="C1052" i="1"/>
  <c r="B1052" i="1"/>
  <c r="A1052" i="1"/>
  <c r="J1051" i="1"/>
  <c r="G1051" i="1"/>
  <c r="F1051" i="1"/>
  <c r="E1051" i="1"/>
  <c r="D1051" i="1"/>
  <c r="C1051" i="1"/>
  <c r="B1051" i="1"/>
  <c r="A1051" i="1"/>
  <c r="J1050" i="1"/>
  <c r="I1050" i="1"/>
  <c r="H1050" i="1"/>
  <c r="G1050" i="1"/>
  <c r="F1050" i="1"/>
  <c r="E1050" i="1"/>
  <c r="C1050" i="1"/>
  <c r="B1050" i="1"/>
  <c r="A1050" i="1"/>
  <c r="J1049" i="1"/>
  <c r="G1049" i="1"/>
  <c r="F1049" i="1"/>
  <c r="E1049" i="1"/>
  <c r="D1049" i="1"/>
  <c r="C1049" i="1"/>
  <c r="B1049" i="1"/>
  <c r="A1049" i="1"/>
  <c r="J1048" i="1"/>
  <c r="G1048" i="1"/>
  <c r="F1048" i="1"/>
  <c r="E1048" i="1"/>
  <c r="D1048" i="1"/>
  <c r="C1048" i="1"/>
  <c r="B1048" i="1"/>
  <c r="A1048" i="1"/>
  <c r="J1047" i="1"/>
  <c r="G1047" i="1"/>
  <c r="F1047" i="1"/>
  <c r="E1047" i="1"/>
  <c r="D1047" i="1"/>
  <c r="C1047" i="1"/>
  <c r="B1047" i="1"/>
  <c r="A1047" i="1"/>
  <c r="J1046" i="1"/>
  <c r="G1046" i="1"/>
  <c r="F1046" i="1"/>
  <c r="E1046" i="1"/>
  <c r="D1046" i="1"/>
  <c r="C1046" i="1"/>
  <c r="B1046" i="1"/>
  <c r="A1046" i="1"/>
  <c r="J1045" i="1"/>
  <c r="G1045" i="1"/>
  <c r="F1045" i="1"/>
  <c r="E1045" i="1"/>
  <c r="D1045" i="1"/>
  <c r="C1045" i="1"/>
  <c r="B1045" i="1"/>
  <c r="A1045" i="1"/>
  <c r="J1044" i="1"/>
  <c r="G1044" i="1"/>
  <c r="F1044" i="1"/>
  <c r="E1044" i="1"/>
  <c r="D1044" i="1"/>
  <c r="C1044" i="1"/>
  <c r="B1044" i="1"/>
  <c r="A1044" i="1"/>
  <c r="J1043" i="1"/>
  <c r="G1043" i="1"/>
  <c r="F1043" i="1"/>
  <c r="E1043" i="1"/>
  <c r="D1043" i="1"/>
  <c r="C1043" i="1"/>
  <c r="B1043" i="1"/>
  <c r="A1043" i="1"/>
  <c r="J1042" i="1"/>
  <c r="G1042" i="1"/>
  <c r="F1042" i="1"/>
  <c r="E1042" i="1"/>
  <c r="D1042" i="1"/>
  <c r="C1042" i="1"/>
  <c r="B1042" i="1"/>
  <c r="A1042" i="1"/>
  <c r="J1041" i="1"/>
  <c r="G1041" i="1"/>
  <c r="F1041" i="1"/>
  <c r="E1041" i="1"/>
  <c r="D1041" i="1"/>
  <c r="C1041" i="1"/>
  <c r="B1041" i="1"/>
  <c r="A1041" i="1"/>
  <c r="J1040" i="1"/>
  <c r="G1040" i="1"/>
  <c r="F1040" i="1"/>
  <c r="E1040" i="1"/>
  <c r="D1040" i="1"/>
  <c r="C1040" i="1"/>
  <c r="B1040" i="1"/>
  <c r="A1040" i="1"/>
  <c r="J1039" i="1"/>
  <c r="G1039" i="1"/>
  <c r="F1039" i="1"/>
  <c r="E1039" i="1"/>
  <c r="D1039" i="1"/>
  <c r="C1039" i="1"/>
  <c r="B1039" i="1"/>
  <c r="A1039" i="1"/>
  <c r="J1038" i="1"/>
  <c r="G1038" i="1"/>
  <c r="F1038" i="1"/>
  <c r="E1038" i="1"/>
  <c r="D1038" i="1"/>
  <c r="C1038" i="1"/>
  <c r="B1038" i="1"/>
  <c r="A1038" i="1"/>
  <c r="J1037" i="1"/>
  <c r="G1037" i="1"/>
  <c r="F1037" i="1"/>
  <c r="E1037" i="1"/>
  <c r="D1037" i="1"/>
  <c r="C1037" i="1"/>
  <c r="B1037" i="1"/>
  <c r="A1037" i="1"/>
  <c r="J1036" i="1"/>
  <c r="G1036" i="1"/>
  <c r="F1036" i="1"/>
  <c r="E1036" i="1"/>
  <c r="D1036" i="1"/>
  <c r="C1036" i="1"/>
  <c r="B1036" i="1"/>
  <c r="A1036" i="1"/>
  <c r="J1035" i="1"/>
  <c r="G1035" i="1"/>
  <c r="F1035" i="1"/>
  <c r="E1035" i="1"/>
  <c r="D1035" i="1"/>
  <c r="C1035" i="1"/>
  <c r="B1035" i="1"/>
  <c r="A1035" i="1"/>
  <c r="J1034" i="1"/>
  <c r="G1034" i="1"/>
  <c r="F1034" i="1"/>
  <c r="E1034" i="1"/>
  <c r="D1034" i="1"/>
  <c r="C1034" i="1"/>
  <c r="B1034" i="1"/>
  <c r="A1034" i="1"/>
  <c r="J1033" i="1"/>
  <c r="G1033" i="1"/>
  <c r="F1033" i="1"/>
  <c r="E1033" i="1"/>
  <c r="D1033" i="1"/>
  <c r="C1033" i="1"/>
  <c r="B1033" i="1"/>
  <c r="A1033" i="1"/>
  <c r="J1032" i="1"/>
  <c r="G1032" i="1"/>
  <c r="F1032" i="1"/>
  <c r="E1032" i="1"/>
  <c r="D1032" i="1"/>
  <c r="C1032" i="1"/>
  <c r="B1032" i="1"/>
  <c r="A1032" i="1"/>
  <c r="J1031" i="1"/>
  <c r="G1031" i="1"/>
  <c r="F1031" i="1"/>
  <c r="E1031" i="1"/>
  <c r="D1031" i="1"/>
  <c r="C1031" i="1"/>
  <c r="B1031" i="1"/>
  <c r="A1031" i="1"/>
  <c r="J1030" i="1"/>
  <c r="G1030" i="1"/>
  <c r="F1030" i="1"/>
  <c r="E1030" i="1"/>
  <c r="D1030" i="1"/>
  <c r="C1030" i="1"/>
  <c r="B1030" i="1"/>
  <c r="A1030" i="1"/>
  <c r="J1029" i="1"/>
  <c r="G1029" i="1"/>
  <c r="F1029" i="1"/>
  <c r="E1029" i="1"/>
  <c r="D1029" i="1"/>
  <c r="C1029" i="1"/>
  <c r="B1029" i="1"/>
  <c r="A1029" i="1"/>
  <c r="J1028" i="1"/>
  <c r="G1028" i="1"/>
  <c r="F1028" i="1"/>
  <c r="E1028" i="1"/>
  <c r="D1028" i="1"/>
  <c r="C1028" i="1"/>
  <c r="B1028" i="1"/>
  <c r="A1028" i="1"/>
  <c r="J1027" i="1"/>
  <c r="G1027" i="1"/>
  <c r="F1027" i="1"/>
  <c r="E1027" i="1"/>
  <c r="D1027" i="1"/>
  <c r="C1027" i="1"/>
  <c r="B1027" i="1"/>
  <c r="A1027" i="1"/>
  <c r="J1026" i="1"/>
  <c r="G1026" i="1"/>
  <c r="F1026" i="1"/>
  <c r="E1026" i="1"/>
  <c r="D1026" i="1"/>
  <c r="C1026" i="1"/>
  <c r="B1026" i="1"/>
  <c r="A1026" i="1"/>
  <c r="J1025" i="1"/>
  <c r="G1025" i="1"/>
  <c r="F1025" i="1"/>
  <c r="E1025" i="1"/>
  <c r="D1025" i="1"/>
  <c r="C1025" i="1"/>
  <c r="B1025" i="1"/>
  <c r="A1025" i="1"/>
  <c r="J1024" i="1"/>
  <c r="G1024" i="1"/>
  <c r="F1024" i="1"/>
  <c r="E1024" i="1"/>
  <c r="D1024" i="1"/>
  <c r="C1024" i="1"/>
  <c r="B1024" i="1"/>
  <c r="A1024" i="1"/>
  <c r="J1023" i="1"/>
  <c r="G1023" i="1"/>
  <c r="F1023" i="1"/>
  <c r="E1023" i="1"/>
  <c r="D1023" i="1"/>
  <c r="C1023" i="1"/>
  <c r="B1023" i="1"/>
  <c r="A1023" i="1"/>
  <c r="J1022" i="1"/>
  <c r="G1022" i="1"/>
  <c r="F1022" i="1"/>
  <c r="E1022" i="1"/>
  <c r="D1022" i="1"/>
  <c r="C1022" i="1"/>
  <c r="B1022" i="1"/>
  <c r="A1022" i="1"/>
  <c r="J1021" i="1"/>
  <c r="G1021" i="1"/>
  <c r="F1021" i="1"/>
  <c r="E1021" i="1"/>
  <c r="D1021" i="1"/>
  <c r="C1021" i="1"/>
  <c r="B1021" i="1"/>
  <c r="A1021" i="1"/>
  <c r="J1020" i="1"/>
  <c r="G1020" i="1"/>
  <c r="F1020" i="1"/>
  <c r="E1020" i="1"/>
  <c r="D1020" i="1"/>
  <c r="C1020" i="1"/>
  <c r="B1020" i="1"/>
  <c r="A1020" i="1"/>
  <c r="J1019" i="1"/>
  <c r="G1019" i="1"/>
  <c r="F1019" i="1"/>
  <c r="E1019" i="1"/>
  <c r="D1019" i="1"/>
  <c r="C1019" i="1"/>
  <c r="B1019" i="1"/>
  <c r="A1019" i="1"/>
  <c r="J1018" i="1"/>
  <c r="G1018" i="1"/>
  <c r="F1018" i="1"/>
  <c r="E1018" i="1"/>
  <c r="D1018" i="1"/>
  <c r="C1018" i="1"/>
  <c r="B1018" i="1"/>
  <c r="A1018" i="1"/>
  <c r="J1017" i="1"/>
  <c r="G1017" i="1"/>
  <c r="F1017" i="1"/>
  <c r="E1017" i="1"/>
  <c r="D1017" i="1"/>
  <c r="C1017" i="1"/>
  <c r="B1017" i="1"/>
  <c r="A1017" i="1"/>
  <c r="J1016" i="1"/>
  <c r="G1016" i="1"/>
  <c r="F1016" i="1"/>
  <c r="E1016" i="1"/>
  <c r="D1016" i="1"/>
  <c r="C1016" i="1"/>
  <c r="B1016" i="1"/>
  <c r="A1016" i="1"/>
  <c r="J1015" i="1"/>
  <c r="G1015" i="1"/>
  <c r="F1015" i="1"/>
  <c r="E1015" i="1"/>
  <c r="D1015" i="1"/>
  <c r="C1015" i="1"/>
  <c r="B1015" i="1"/>
  <c r="A1015" i="1"/>
  <c r="J1014" i="1"/>
  <c r="G1014" i="1"/>
  <c r="F1014" i="1"/>
  <c r="E1014" i="1"/>
  <c r="D1014" i="1"/>
  <c r="C1014" i="1"/>
  <c r="B1014" i="1"/>
  <c r="A1014" i="1"/>
  <c r="J1013" i="1"/>
  <c r="G1013" i="1"/>
  <c r="F1013" i="1"/>
  <c r="E1013" i="1"/>
  <c r="D1013" i="1"/>
  <c r="C1013" i="1"/>
  <c r="B1013" i="1"/>
  <c r="A1013" i="1"/>
  <c r="J1012" i="1"/>
  <c r="G1012" i="1"/>
  <c r="F1012" i="1"/>
  <c r="E1012" i="1"/>
  <c r="D1012" i="1"/>
  <c r="C1012" i="1"/>
  <c r="B1012" i="1"/>
  <c r="A1012" i="1"/>
  <c r="J1011" i="1"/>
  <c r="G1011" i="1"/>
  <c r="F1011" i="1"/>
  <c r="E1011" i="1"/>
  <c r="D1011" i="1"/>
  <c r="C1011" i="1"/>
  <c r="B1011" i="1"/>
  <c r="A1011" i="1"/>
  <c r="J1010" i="1"/>
  <c r="G1010" i="1"/>
  <c r="F1010" i="1"/>
  <c r="E1010" i="1"/>
  <c r="D1010" i="1"/>
  <c r="C1010" i="1"/>
  <c r="B1010" i="1"/>
  <c r="A1010" i="1"/>
  <c r="J1009" i="1"/>
  <c r="G1009" i="1"/>
  <c r="F1009" i="1"/>
  <c r="E1009" i="1"/>
  <c r="D1009" i="1"/>
  <c r="C1009" i="1"/>
  <c r="B1009" i="1"/>
  <c r="A1009" i="1"/>
  <c r="J1008" i="1"/>
  <c r="G1008" i="1"/>
  <c r="F1008" i="1"/>
  <c r="E1008" i="1"/>
  <c r="D1008" i="1"/>
  <c r="C1008" i="1"/>
  <c r="B1008" i="1"/>
  <c r="A1008" i="1"/>
  <c r="J1007" i="1"/>
  <c r="G1007" i="1"/>
  <c r="F1007" i="1"/>
  <c r="E1007" i="1"/>
  <c r="D1007" i="1"/>
  <c r="C1007" i="1"/>
  <c r="B1007" i="1"/>
  <c r="A1007" i="1"/>
  <c r="J1006" i="1"/>
  <c r="G1006" i="1"/>
  <c r="F1006" i="1"/>
  <c r="E1006" i="1"/>
  <c r="D1006" i="1"/>
  <c r="C1006" i="1"/>
  <c r="B1006" i="1"/>
  <c r="A1006" i="1"/>
  <c r="J1005" i="1"/>
  <c r="G1005" i="1"/>
  <c r="F1005" i="1"/>
  <c r="E1005" i="1"/>
  <c r="D1005" i="1"/>
  <c r="C1005" i="1"/>
  <c r="B1005" i="1"/>
  <c r="A1005" i="1"/>
  <c r="J1004" i="1"/>
  <c r="G1004" i="1"/>
  <c r="F1004" i="1"/>
  <c r="E1004" i="1"/>
  <c r="D1004" i="1"/>
  <c r="C1004" i="1"/>
  <c r="B1004" i="1"/>
  <c r="A1004" i="1"/>
  <c r="J1003" i="1"/>
  <c r="G1003" i="1"/>
  <c r="F1003" i="1"/>
  <c r="E1003" i="1"/>
  <c r="D1003" i="1"/>
  <c r="C1003" i="1"/>
  <c r="B1003" i="1"/>
  <c r="A1003" i="1"/>
  <c r="J1002" i="1"/>
  <c r="G1002" i="1"/>
  <c r="F1002" i="1"/>
  <c r="E1002" i="1"/>
  <c r="D1002" i="1"/>
  <c r="C1002" i="1"/>
  <c r="B1002" i="1"/>
  <c r="A1002" i="1"/>
  <c r="J1001" i="1"/>
  <c r="G1001" i="1"/>
  <c r="F1001" i="1"/>
  <c r="E1001" i="1"/>
  <c r="D1001" i="1"/>
  <c r="C1001" i="1"/>
  <c r="B1001" i="1"/>
  <c r="A1001" i="1"/>
  <c r="J1000" i="1"/>
  <c r="G1000" i="1"/>
  <c r="F1000" i="1"/>
  <c r="E1000" i="1"/>
  <c r="D1000" i="1"/>
  <c r="C1000" i="1"/>
  <c r="B1000" i="1"/>
  <c r="A1000" i="1"/>
  <c r="J999" i="1"/>
  <c r="G999" i="1"/>
  <c r="F999" i="1"/>
  <c r="E999" i="1"/>
  <c r="D999" i="1"/>
  <c r="C999" i="1"/>
  <c r="B999" i="1"/>
  <c r="A999" i="1"/>
  <c r="J998" i="1"/>
  <c r="G998" i="1"/>
  <c r="F998" i="1"/>
  <c r="E998" i="1"/>
  <c r="D998" i="1"/>
  <c r="C998" i="1"/>
  <c r="B998" i="1"/>
  <c r="A998" i="1"/>
  <c r="J997" i="1"/>
  <c r="G997" i="1"/>
  <c r="F997" i="1"/>
  <c r="E997" i="1"/>
  <c r="D997" i="1"/>
  <c r="C997" i="1"/>
  <c r="B997" i="1"/>
  <c r="A997" i="1"/>
  <c r="J996" i="1"/>
  <c r="G996" i="1"/>
  <c r="F996" i="1"/>
  <c r="E996" i="1"/>
  <c r="D996" i="1"/>
  <c r="C996" i="1"/>
  <c r="B996" i="1"/>
  <c r="A996" i="1"/>
  <c r="J995" i="1"/>
  <c r="G995" i="1"/>
  <c r="F995" i="1"/>
  <c r="E995" i="1"/>
  <c r="D995" i="1"/>
  <c r="C995" i="1"/>
  <c r="B995" i="1"/>
  <c r="A995" i="1"/>
  <c r="J994" i="1"/>
  <c r="G994" i="1"/>
  <c r="F994" i="1"/>
  <c r="E994" i="1"/>
  <c r="D994" i="1"/>
  <c r="C994" i="1"/>
  <c r="B994" i="1"/>
  <c r="A994" i="1"/>
  <c r="J993" i="1"/>
  <c r="G993" i="1"/>
  <c r="F993" i="1"/>
  <c r="E993" i="1"/>
  <c r="D993" i="1"/>
  <c r="C993" i="1"/>
  <c r="B993" i="1"/>
  <c r="A993" i="1"/>
  <c r="J992" i="1"/>
  <c r="G992" i="1"/>
  <c r="F992" i="1"/>
  <c r="E992" i="1"/>
  <c r="D992" i="1"/>
  <c r="C992" i="1"/>
  <c r="B992" i="1"/>
  <c r="A992" i="1"/>
  <c r="J991" i="1"/>
  <c r="G991" i="1"/>
  <c r="F991" i="1"/>
  <c r="E991" i="1"/>
  <c r="D991" i="1"/>
  <c r="C991" i="1"/>
  <c r="B991" i="1"/>
  <c r="A991" i="1"/>
  <c r="J990" i="1"/>
  <c r="G990" i="1"/>
  <c r="F990" i="1"/>
  <c r="E990" i="1"/>
  <c r="D990" i="1"/>
  <c r="C990" i="1"/>
  <c r="B990" i="1"/>
  <c r="A990" i="1"/>
  <c r="J989" i="1"/>
  <c r="G989" i="1"/>
  <c r="F989" i="1"/>
  <c r="E989" i="1"/>
  <c r="D989" i="1"/>
  <c r="C989" i="1"/>
  <c r="B989" i="1"/>
  <c r="A989" i="1"/>
  <c r="J988" i="1"/>
  <c r="G988" i="1"/>
  <c r="F988" i="1"/>
  <c r="E988" i="1"/>
  <c r="D988" i="1"/>
  <c r="C988" i="1"/>
  <c r="B988" i="1"/>
  <c r="A988" i="1"/>
  <c r="J987" i="1"/>
  <c r="G987" i="1"/>
  <c r="F987" i="1"/>
  <c r="E987" i="1"/>
  <c r="D987" i="1"/>
  <c r="C987" i="1"/>
  <c r="B987" i="1"/>
  <c r="A987" i="1"/>
  <c r="J986" i="1"/>
  <c r="G986" i="1"/>
  <c r="F986" i="1"/>
  <c r="E986" i="1"/>
  <c r="D986" i="1"/>
  <c r="C986" i="1"/>
  <c r="B986" i="1"/>
  <c r="A986" i="1"/>
  <c r="J985" i="1"/>
  <c r="G985" i="1"/>
  <c r="F985" i="1"/>
  <c r="E985" i="1"/>
  <c r="D985" i="1"/>
  <c r="C985" i="1"/>
  <c r="B985" i="1"/>
  <c r="A985" i="1"/>
  <c r="J984" i="1"/>
  <c r="G984" i="1"/>
  <c r="F984" i="1"/>
  <c r="E984" i="1"/>
  <c r="D984" i="1"/>
  <c r="C984" i="1"/>
  <c r="B984" i="1"/>
  <c r="A984" i="1"/>
  <c r="J983" i="1"/>
  <c r="G983" i="1"/>
  <c r="F983" i="1"/>
  <c r="E983" i="1"/>
  <c r="D983" i="1"/>
  <c r="C983" i="1"/>
  <c r="B983" i="1"/>
  <c r="A983" i="1"/>
  <c r="J982" i="1"/>
  <c r="G982" i="1"/>
  <c r="F982" i="1"/>
  <c r="E982" i="1"/>
  <c r="D982" i="1"/>
  <c r="C982" i="1"/>
  <c r="B982" i="1"/>
  <c r="A982" i="1"/>
  <c r="J981" i="1"/>
  <c r="G981" i="1"/>
  <c r="F981" i="1"/>
  <c r="E981" i="1"/>
  <c r="D981" i="1"/>
  <c r="C981" i="1"/>
  <c r="B981" i="1"/>
  <c r="A981" i="1"/>
  <c r="J980" i="1"/>
  <c r="G980" i="1"/>
  <c r="F980" i="1"/>
  <c r="E980" i="1"/>
  <c r="D980" i="1"/>
  <c r="C980" i="1"/>
  <c r="B980" i="1"/>
  <c r="A980" i="1"/>
  <c r="J979" i="1"/>
  <c r="G979" i="1"/>
  <c r="F979" i="1"/>
  <c r="E979" i="1"/>
  <c r="D979" i="1"/>
  <c r="C979" i="1"/>
  <c r="B979" i="1"/>
  <c r="A979" i="1"/>
  <c r="J978" i="1"/>
  <c r="G978" i="1"/>
  <c r="F978" i="1"/>
  <c r="E978" i="1"/>
  <c r="D978" i="1"/>
  <c r="C978" i="1"/>
  <c r="B978" i="1"/>
  <c r="A978" i="1"/>
  <c r="J977" i="1"/>
  <c r="G977" i="1"/>
  <c r="F977" i="1"/>
  <c r="E977" i="1"/>
  <c r="D977" i="1"/>
  <c r="C977" i="1"/>
  <c r="B977" i="1"/>
  <c r="A977" i="1"/>
  <c r="J976" i="1"/>
  <c r="G976" i="1"/>
  <c r="F976" i="1"/>
  <c r="E976" i="1"/>
  <c r="D976" i="1"/>
  <c r="C976" i="1"/>
  <c r="B976" i="1"/>
  <c r="A976" i="1"/>
  <c r="J975" i="1"/>
  <c r="G975" i="1"/>
  <c r="F975" i="1"/>
  <c r="E975" i="1"/>
  <c r="D975" i="1"/>
  <c r="C975" i="1"/>
  <c r="B975" i="1"/>
  <c r="A975" i="1"/>
  <c r="J974" i="1"/>
  <c r="G974" i="1"/>
  <c r="F974" i="1"/>
  <c r="E974" i="1"/>
  <c r="D974" i="1"/>
  <c r="C974" i="1"/>
  <c r="B974" i="1"/>
  <c r="A974" i="1"/>
  <c r="J973" i="1"/>
  <c r="G973" i="1"/>
  <c r="F973" i="1"/>
  <c r="E973" i="1"/>
  <c r="D973" i="1"/>
  <c r="C973" i="1"/>
  <c r="B973" i="1"/>
  <c r="A973" i="1"/>
  <c r="J972" i="1"/>
  <c r="G972" i="1"/>
  <c r="F972" i="1"/>
  <c r="E972" i="1"/>
  <c r="D972" i="1"/>
  <c r="C972" i="1"/>
  <c r="B972" i="1"/>
  <c r="A972" i="1"/>
  <c r="J971" i="1"/>
  <c r="G971" i="1"/>
  <c r="F971" i="1"/>
  <c r="E971" i="1"/>
  <c r="D971" i="1"/>
  <c r="C971" i="1"/>
  <c r="B971" i="1"/>
  <c r="A971" i="1"/>
  <c r="J970" i="1"/>
  <c r="G970" i="1"/>
  <c r="F970" i="1"/>
  <c r="E970" i="1"/>
  <c r="D970" i="1"/>
  <c r="C970" i="1"/>
  <c r="B970" i="1"/>
  <c r="A970" i="1"/>
  <c r="J969" i="1"/>
  <c r="G969" i="1"/>
  <c r="F969" i="1"/>
  <c r="E969" i="1"/>
  <c r="D969" i="1"/>
  <c r="C969" i="1"/>
  <c r="B969" i="1"/>
  <c r="A969" i="1"/>
  <c r="J968" i="1"/>
  <c r="G968" i="1"/>
  <c r="F968" i="1"/>
  <c r="E968" i="1"/>
  <c r="D968" i="1"/>
  <c r="C968" i="1"/>
  <c r="B968" i="1"/>
  <c r="A968" i="1"/>
  <c r="J967" i="1"/>
  <c r="G967" i="1"/>
  <c r="F967" i="1"/>
  <c r="E967" i="1"/>
  <c r="D967" i="1"/>
  <c r="C967" i="1"/>
  <c r="B967" i="1"/>
  <c r="A967" i="1"/>
  <c r="J966" i="1"/>
  <c r="G966" i="1"/>
  <c r="F966" i="1"/>
  <c r="E966" i="1"/>
  <c r="D966" i="1"/>
  <c r="C966" i="1"/>
  <c r="B966" i="1"/>
  <c r="A966" i="1"/>
  <c r="J965" i="1"/>
  <c r="G965" i="1"/>
  <c r="F965" i="1"/>
  <c r="E965" i="1"/>
  <c r="D965" i="1"/>
  <c r="C965" i="1"/>
  <c r="B965" i="1"/>
  <c r="A965" i="1"/>
  <c r="J964" i="1"/>
  <c r="I964" i="1"/>
  <c r="H964" i="1"/>
  <c r="G964" i="1"/>
  <c r="F964" i="1"/>
  <c r="E964" i="1"/>
  <c r="C964" i="1"/>
  <c r="B964" i="1"/>
  <c r="A964" i="1"/>
  <c r="J963" i="1"/>
  <c r="G963" i="1"/>
  <c r="F963" i="1"/>
  <c r="E963" i="1"/>
  <c r="D963" i="1"/>
  <c r="C963" i="1"/>
  <c r="B963" i="1"/>
  <c r="A963" i="1"/>
  <c r="J962" i="1"/>
  <c r="G962" i="1"/>
  <c r="F962" i="1"/>
  <c r="E962" i="1"/>
  <c r="D962" i="1"/>
  <c r="C962" i="1"/>
  <c r="B962" i="1"/>
  <c r="A962" i="1"/>
  <c r="J961" i="1"/>
  <c r="G961" i="1"/>
  <c r="F961" i="1"/>
  <c r="E961" i="1"/>
  <c r="D961" i="1"/>
  <c r="C961" i="1"/>
  <c r="B961" i="1"/>
  <c r="A961" i="1"/>
  <c r="J960" i="1"/>
  <c r="G960" i="1"/>
  <c r="F960" i="1"/>
  <c r="E960" i="1"/>
  <c r="D960" i="1"/>
  <c r="C960" i="1"/>
  <c r="B960" i="1"/>
  <c r="A960" i="1"/>
  <c r="J959" i="1"/>
  <c r="G959" i="1"/>
  <c r="F959" i="1"/>
  <c r="E959" i="1"/>
  <c r="D959" i="1"/>
  <c r="C959" i="1"/>
  <c r="B959" i="1"/>
  <c r="A959" i="1"/>
  <c r="J958" i="1"/>
  <c r="G958" i="1"/>
  <c r="F958" i="1"/>
  <c r="E958" i="1"/>
  <c r="D958" i="1"/>
  <c r="C958" i="1"/>
  <c r="B958" i="1"/>
  <c r="A958" i="1"/>
  <c r="J957" i="1"/>
  <c r="G957" i="1"/>
  <c r="F957" i="1"/>
  <c r="E957" i="1"/>
  <c r="D957" i="1"/>
  <c r="C957" i="1"/>
  <c r="B957" i="1"/>
  <c r="A957" i="1"/>
  <c r="J956" i="1"/>
  <c r="G956" i="1"/>
  <c r="F956" i="1"/>
  <c r="E956" i="1"/>
  <c r="D956" i="1"/>
  <c r="C956" i="1"/>
  <c r="B956" i="1"/>
  <c r="A956" i="1"/>
  <c r="J955" i="1"/>
  <c r="G955" i="1"/>
  <c r="F955" i="1"/>
  <c r="E955" i="1"/>
  <c r="D955" i="1"/>
  <c r="C955" i="1"/>
  <c r="B955" i="1"/>
  <c r="A955" i="1"/>
  <c r="J954" i="1"/>
  <c r="G954" i="1"/>
  <c r="F954" i="1"/>
  <c r="E954" i="1"/>
  <c r="D954" i="1"/>
  <c r="C954" i="1"/>
  <c r="B954" i="1"/>
  <c r="A954" i="1"/>
  <c r="J953" i="1"/>
  <c r="G953" i="1"/>
  <c r="F953" i="1"/>
  <c r="E953" i="1"/>
  <c r="D953" i="1"/>
  <c r="C953" i="1"/>
  <c r="B953" i="1"/>
  <c r="A953" i="1"/>
  <c r="J952" i="1"/>
  <c r="G952" i="1"/>
  <c r="F952" i="1"/>
  <c r="E952" i="1"/>
  <c r="D952" i="1"/>
  <c r="C952" i="1"/>
  <c r="B952" i="1"/>
  <c r="A952" i="1"/>
  <c r="J951" i="1"/>
  <c r="G951" i="1"/>
  <c r="F951" i="1"/>
  <c r="E951" i="1"/>
  <c r="D951" i="1"/>
  <c r="C951" i="1"/>
  <c r="B951" i="1"/>
  <c r="A951" i="1"/>
  <c r="J950" i="1"/>
  <c r="I950" i="1"/>
  <c r="H950" i="1"/>
  <c r="G950" i="1"/>
  <c r="F950" i="1"/>
  <c r="E950" i="1"/>
  <c r="C950" i="1"/>
  <c r="B950" i="1"/>
  <c r="A950" i="1"/>
  <c r="J949" i="1"/>
  <c r="I949" i="1"/>
  <c r="H949" i="1"/>
  <c r="G949" i="1"/>
  <c r="F949" i="1"/>
  <c r="E949" i="1"/>
  <c r="D949" i="1"/>
  <c r="C949" i="1"/>
  <c r="B949" i="1"/>
  <c r="A949" i="1"/>
  <c r="J948" i="1"/>
  <c r="G948" i="1"/>
  <c r="F948" i="1"/>
  <c r="E948" i="1"/>
  <c r="D948" i="1"/>
  <c r="C948" i="1"/>
  <c r="B948" i="1"/>
  <c r="A948" i="1"/>
  <c r="J947" i="1"/>
  <c r="G947" i="1"/>
  <c r="F947" i="1"/>
  <c r="E947" i="1"/>
  <c r="D947" i="1"/>
  <c r="C947" i="1"/>
  <c r="B947" i="1"/>
  <c r="A947" i="1"/>
  <c r="J946" i="1"/>
  <c r="G946" i="1"/>
  <c r="F946" i="1"/>
  <c r="E946" i="1"/>
  <c r="D946" i="1"/>
  <c r="C946" i="1"/>
  <c r="B946" i="1"/>
  <c r="A946" i="1"/>
  <c r="J945" i="1"/>
  <c r="G945" i="1"/>
  <c r="F945" i="1"/>
  <c r="E945" i="1"/>
  <c r="D945" i="1"/>
  <c r="C945" i="1"/>
  <c r="B945" i="1"/>
  <c r="A945" i="1"/>
  <c r="J944" i="1"/>
  <c r="G944" i="1"/>
  <c r="F944" i="1"/>
  <c r="E944" i="1"/>
  <c r="D944" i="1"/>
  <c r="C944" i="1"/>
  <c r="B944" i="1"/>
  <c r="A944" i="1"/>
  <c r="J943" i="1"/>
  <c r="G943" i="1"/>
  <c r="F943" i="1"/>
  <c r="E943" i="1"/>
  <c r="D943" i="1"/>
  <c r="C943" i="1"/>
  <c r="B943" i="1"/>
  <c r="A943" i="1"/>
  <c r="J942" i="1"/>
  <c r="G942" i="1"/>
  <c r="F942" i="1"/>
  <c r="E942" i="1"/>
  <c r="D942" i="1"/>
  <c r="C942" i="1"/>
  <c r="B942" i="1"/>
  <c r="A942" i="1"/>
  <c r="J941" i="1"/>
  <c r="G941" i="1"/>
  <c r="F941" i="1"/>
  <c r="E941" i="1"/>
  <c r="D941" i="1"/>
  <c r="C941" i="1"/>
  <c r="B941" i="1"/>
  <c r="A941" i="1"/>
  <c r="J940" i="1"/>
  <c r="G940" i="1"/>
  <c r="F940" i="1"/>
  <c r="E940" i="1"/>
  <c r="D940" i="1"/>
  <c r="C940" i="1"/>
  <c r="B940" i="1"/>
  <c r="A940" i="1"/>
  <c r="J939" i="1"/>
  <c r="G939" i="1"/>
  <c r="F939" i="1"/>
  <c r="E939" i="1"/>
  <c r="D939" i="1"/>
  <c r="C939" i="1"/>
  <c r="B939" i="1"/>
  <c r="A939" i="1"/>
  <c r="J938" i="1"/>
  <c r="G938" i="1"/>
  <c r="F938" i="1"/>
  <c r="E938" i="1"/>
  <c r="D938" i="1"/>
  <c r="C938" i="1"/>
  <c r="B938" i="1"/>
  <c r="A938" i="1"/>
  <c r="J937" i="1"/>
  <c r="G937" i="1"/>
  <c r="F937" i="1"/>
  <c r="E937" i="1"/>
  <c r="D937" i="1"/>
  <c r="C937" i="1"/>
  <c r="B937" i="1"/>
  <c r="A937" i="1"/>
  <c r="J936" i="1"/>
  <c r="G936" i="1"/>
  <c r="F936" i="1"/>
  <c r="E936" i="1"/>
  <c r="D936" i="1"/>
  <c r="C936" i="1"/>
  <c r="B936" i="1"/>
  <c r="A936" i="1"/>
  <c r="J935" i="1"/>
  <c r="G935" i="1"/>
  <c r="F935" i="1"/>
  <c r="E935" i="1"/>
  <c r="D935" i="1"/>
  <c r="C935" i="1"/>
  <c r="B935" i="1"/>
  <c r="A935" i="1"/>
  <c r="J934" i="1"/>
  <c r="G934" i="1"/>
  <c r="F934" i="1"/>
  <c r="E934" i="1"/>
  <c r="D934" i="1"/>
  <c r="C934" i="1"/>
  <c r="B934" i="1"/>
  <c r="A934" i="1"/>
  <c r="J933" i="1"/>
  <c r="G933" i="1"/>
  <c r="F933" i="1"/>
  <c r="E933" i="1"/>
  <c r="D933" i="1"/>
  <c r="C933" i="1"/>
  <c r="B933" i="1"/>
  <c r="A933" i="1"/>
  <c r="J932" i="1"/>
  <c r="G932" i="1"/>
  <c r="F932" i="1"/>
  <c r="E932" i="1"/>
  <c r="D932" i="1"/>
  <c r="C932" i="1"/>
  <c r="B932" i="1"/>
  <c r="A932" i="1"/>
  <c r="J931" i="1"/>
  <c r="G931" i="1"/>
  <c r="F931" i="1"/>
  <c r="E931" i="1"/>
  <c r="D931" i="1"/>
  <c r="C931" i="1"/>
  <c r="B931" i="1"/>
  <c r="A931" i="1"/>
  <c r="J930" i="1"/>
  <c r="G930" i="1"/>
  <c r="F930" i="1"/>
  <c r="E930" i="1"/>
  <c r="D930" i="1"/>
  <c r="C930" i="1"/>
  <c r="B930" i="1"/>
  <c r="A930" i="1"/>
  <c r="J929" i="1"/>
  <c r="G929" i="1"/>
  <c r="F929" i="1"/>
  <c r="E929" i="1"/>
  <c r="D929" i="1"/>
  <c r="C929" i="1"/>
  <c r="B929" i="1"/>
  <c r="A929" i="1"/>
  <c r="J928" i="1"/>
  <c r="G928" i="1"/>
  <c r="F928" i="1"/>
  <c r="E928" i="1"/>
  <c r="D928" i="1"/>
  <c r="C928" i="1"/>
  <c r="B928" i="1"/>
  <c r="A928" i="1"/>
  <c r="J927" i="1"/>
  <c r="G927" i="1"/>
  <c r="F927" i="1"/>
  <c r="E927" i="1"/>
  <c r="D927" i="1"/>
  <c r="C927" i="1"/>
  <c r="B927" i="1"/>
  <c r="A927" i="1"/>
  <c r="J926" i="1"/>
  <c r="G926" i="1"/>
  <c r="F926" i="1"/>
  <c r="E926" i="1"/>
  <c r="D926" i="1"/>
  <c r="C926" i="1"/>
  <c r="B926" i="1"/>
  <c r="A926" i="1"/>
  <c r="J925" i="1"/>
  <c r="G925" i="1"/>
  <c r="F925" i="1"/>
  <c r="E925" i="1"/>
  <c r="D925" i="1"/>
  <c r="C925" i="1"/>
  <c r="B925" i="1"/>
  <c r="A925" i="1"/>
  <c r="J924" i="1"/>
  <c r="G924" i="1"/>
  <c r="F924" i="1"/>
  <c r="E924" i="1"/>
  <c r="D924" i="1"/>
  <c r="C924" i="1"/>
  <c r="B924" i="1"/>
  <c r="A924" i="1"/>
  <c r="J923" i="1"/>
  <c r="G923" i="1"/>
  <c r="F923" i="1"/>
  <c r="E923" i="1"/>
  <c r="D923" i="1"/>
  <c r="C923" i="1"/>
  <c r="B923" i="1"/>
  <c r="A923" i="1"/>
  <c r="J922" i="1"/>
  <c r="G922" i="1"/>
  <c r="F922" i="1"/>
  <c r="E922" i="1"/>
  <c r="D922" i="1"/>
  <c r="C922" i="1"/>
  <c r="B922" i="1"/>
  <c r="A922" i="1"/>
  <c r="J921" i="1"/>
  <c r="G921" i="1"/>
  <c r="F921" i="1"/>
  <c r="E921" i="1"/>
  <c r="D921" i="1"/>
  <c r="C921" i="1"/>
  <c r="B921" i="1"/>
  <c r="A921" i="1"/>
  <c r="J920" i="1"/>
  <c r="G920" i="1"/>
  <c r="F920" i="1"/>
  <c r="E920" i="1"/>
  <c r="D920" i="1"/>
  <c r="C920" i="1"/>
  <c r="B920" i="1"/>
  <c r="A920" i="1"/>
  <c r="J919" i="1"/>
  <c r="G919" i="1"/>
  <c r="F919" i="1"/>
  <c r="E919" i="1"/>
  <c r="D919" i="1"/>
  <c r="C919" i="1"/>
  <c r="B919" i="1"/>
  <c r="A919" i="1"/>
  <c r="J918" i="1"/>
  <c r="G918" i="1"/>
  <c r="F918" i="1"/>
  <c r="E918" i="1"/>
  <c r="D918" i="1"/>
  <c r="C918" i="1"/>
  <c r="B918" i="1"/>
  <c r="A918" i="1"/>
  <c r="J917" i="1"/>
  <c r="G917" i="1"/>
  <c r="F917" i="1"/>
  <c r="E917" i="1"/>
  <c r="D917" i="1"/>
  <c r="C917" i="1"/>
  <c r="B917" i="1"/>
  <c r="A917" i="1"/>
  <c r="J916" i="1"/>
  <c r="G916" i="1"/>
  <c r="F916" i="1"/>
  <c r="E916" i="1"/>
  <c r="D916" i="1"/>
  <c r="C916" i="1"/>
  <c r="B916" i="1"/>
  <c r="A916" i="1"/>
  <c r="J915" i="1"/>
  <c r="G915" i="1"/>
  <c r="F915" i="1"/>
  <c r="E915" i="1"/>
  <c r="D915" i="1"/>
  <c r="C915" i="1"/>
  <c r="B915" i="1"/>
  <c r="A915" i="1"/>
  <c r="J914" i="1"/>
  <c r="G914" i="1"/>
  <c r="F914" i="1"/>
  <c r="E914" i="1"/>
  <c r="D914" i="1"/>
  <c r="C914" i="1"/>
  <c r="B914" i="1"/>
  <c r="A914" i="1"/>
  <c r="J913" i="1"/>
  <c r="G913" i="1"/>
  <c r="F913" i="1"/>
  <c r="E913" i="1"/>
  <c r="D913" i="1"/>
  <c r="C913" i="1"/>
  <c r="B913" i="1"/>
  <c r="A913" i="1"/>
  <c r="J912" i="1"/>
  <c r="G912" i="1"/>
  <c r="F912" i="1"/>
  <c r="E912" i="1"/>
  <c r="D912" i="1"/>
  <c r="C912" i="1"/>
  <c r="B912" i="1"/>
  <c r="A912" i="1"/>
  <c r="J911" i="1"/>
  <c r="G911" i="1"/>
  <c r="F911" i="1"/>
  <c r="E911" i="1"/>
  <c r="D911" i="1"/>
  <c r="C911" i="1"/>
  <c r="B911" i="1"/>
  <c r="A911" i="1"/>
  <c r="J910" i="1"/>
  <c r="G910" i="1"/>
  <c r="F910" i="1"/>
  <c r="E910" i="1"/>
  <c r="D910" i="1"/>
  <c r="C910" i="1"/>
  <c r="B910" i="1"/>
  <c r="A910" i="1"/>
  <c r="J909" i="1"/>
  <c r="G909" i="1"/>
  <c r="F909" i="1"/>
  <c r="E909" i="1"/>
  <c r="D909" i="1"/>
  <c r="C909" i="1"/>
  <c r="B909" i="1"/>
  <c r="A909" i="1"/>
  <c r="J908" i="1"/>
  <c r="G908" i="1"/>
  <c r="F908" i="1"/>
  <c r="E908" i="1"/>
  <c r="D908" i="1"/>
  <c r="C908" i="1"/>
  <c r="B908" i="1"/>
  <c r="A908" i="1"/>
  <c r="J907" i="1"/>
  <c r="G907" i="1"/>
  <c r="F907" i="1"/>
  <c r="E907" i="1"/>
  <c r="D907" i="1"/>
  <c r="C907" i="1"/>
  <c r="B907" i="1"/>
  <c r="A907" i="1"/>
  <c r="J906" i="1"/>
  <c r="G906" i="1"/>
  <c r="F906" i="1"/>
  <c r="E906" i="1"/>
  <c r="D906" i="1"/>
  <c r="C906" i="1"/>
  <c r="B906" i="1"/>
  <c r="A906" i="1"/>
  <c r="J905" i="1"/>
  <c r="G905" i="1"/>
  <c r="F905" i="1"/>
  <c r="E905" i="1"/>
  <c r="D905" i="1"/>
  <c r="C905" i="1"/>
  <c r="B905" i="1"/>
  <c r="A905" i="1"/>
  <c r="J904" i="1"/>
  <c r="G904" i="1"/>
  <c r="F904" i="1"/>
  <c r="E904" i="1"/>
  <c r="D904" i="1"/>
  <c r="C904" i="1"/>
  <c r="B904" i="1"/>
  <c r="A904" i="1"/>
  <c r="J903" i="1"/>
  <c r="G903" i="1"/>
  <c r="F903" i="1"/>
  <c r="E903" i="1"/>
  <c r="D903" i="1"/>
  <c r="C903" i="1"/>
  <c r="B903" i="1"/>
  <c r="A903" i="1"/>
  <c r="J902" i="1"/>
  <c r="G902" i="1"/>
  <c r="F902" i="1"/>
  <c r="E902" i="1"/>
  <c r="D902" i="1"/>
  <c r="C902" i="1"/>
  <c r="B902" i="1"/>
  <c r="A902" i="1"/>
  <c r="J901" i="1"/>
  <c r="G901" i="1"/>
  <c r="F901" i="1"/>
  <c r="E901" i="1"/>
  <c r="D901" i="1"/>
  <c r="C901" i="1"/>
  <c r="B901" i="1"/>
  <c r="A901" i="1"/>
  <c r="J900" i="1"/>
  <c r="G900" i="1"/>
  <c r="F900" i="1"/>
  <c r="E900" i="1"/>
  <c r="D900" i="1"/>
  <c r="C900" i="1"/>
  <c r="B900" i="1"/>
  <c r="A900" i="1"/>
  <c r="J899" i="1"/>
  <c r="G899" i="1"/>
  <c r="F899" i="1"/>
  <c r="E899" i="1"/>
  <c r="D899" i="1"/>
  <c r="C899" i="1"/>
  <c r="B899" i="1"/>
  <c r="A899" i="1"/>
  <c r="J898" i="1"/>
  <c r="G898" i="1"/>
  <c r="F898" i="1"/>
  <c r="E898" i="1"/>
  <c r="D898" i="1"/>
  <c r="C898" i="1"/>
  <c r="B898" i="1"/>
  <c r="A898" i="1"/>
  <c r="J897" i="1"/>
  <c r="G897" i="1"/>
  <c r="F897" i="1"/>
  <c r="E897" i="1"/>
  <c r="D897" i="1"/>
  <c r="C897" i="1"/>
  <c r="B897" i="1"/>
  <c r="A897" i="1"/>
  <c r="J896" i="1"/>
  <c r="G896" i="1"/>
  <c r="F896" i="1"/>
  <c r="E896" i="1"/>
  <c r="D896" i="1"/>
  <c r="C896" i="1"/>
  <c r="B896" i="1"/>
  <c r="A896" i="1"/>
  <c r="J895" i="1"/>
  <c r="G895" i="1"/>
  <c r="F895" i="1"/>
  <c r="E895" i="1"/>
  <c r="D895" i="1"/>
  <c r="C895" i="1"/>
  <c r="B895" i="1"/>
  <c r="A895" i="1"/>
  <c r="J894" i="1"/>
  <c r="G894" i="1"/>
  <c r="F894" i="1"/>
  <c r="E894" i="1"/>
  <c r="D894" i="1"/>
  <c r="C894" i="1"/>
  <c r="B894" i="1"/>
  <c r="A894" i="1"/>
  <c r="J893" i="1"/>
  <c r="G893" i="1"/>
  <c r="F893" i="1"/>
  <c r="E893" i="1"/>
  <c r="D893" i="1"/>
  <c r="C893" i="1"/>
  <c r="B893" i="1"/>
  <c r="A893" i="1"/>
  <c r="J892" i="1"/>
  <c r="G892" i="1"/>
  <c r="F892" i="1"/>
  <c r="E892" i="1"/>
  <c r="D892" i="1"/>
  <c r="C892" i="1"/>
  <c r="B892" i="1"/>
  <c r="A892" i="1"/>
  <c r="J891" i="1"/>
  <c r="G891" i="1"/>
  <c r="F891" i="1"/>
  <c r="E891" i="1"/>
  <c r="D891" i="1"/>
  <c r="C891" i="1"/>
  <c r="B891" i="1"/>
  <c r="A891" i="1"/>
  <c r="J890" i="1"/>
  <c r="G890" i="1"/>
  <c r="F890" i="1"/>
  <c r="E890" i="1"/>
  <c r="D890" i="1"/>
  <c r="C890" i="1"/>
  <c r="B890" i="1"/>
  <c r="A890" i="1"/>
  <c r="J889" i="1"/>
  <c r="G889" i="1"/>
  <c r="F889" i="1"/>
  <c r="E889" i="1"/>
  <c r="D889" i="1"/>
  <c r="C889" i="1"/>
  <c r="B889" i="1"/>
  <c r="A889" i="1"/>
  <c r="J888" i="1"/>
  <c r="G888" i="1"/>
  <c r="F888" i="1"/>
  <c r="E888" i="1"/>
  <c r="D888" i="1"/>
  <c r="C888" i="1"/>
  <c r="B888" i="1"/>
  <c r="A888" i="1"/>
  <c r="J887" i="1"/>
  <c r="G887" i="1"/>
  <c r="F887" i="1"/>
  <c r="E887" i="1"/>
  <c r="D887" i="1"/>
  <c r="C887" i="1"/>
  <c r="B887" i="1"/>
  <c r="A887" i="1"/>
  <c r="J886" i="1"/>
  <c r="G886" i="1"/>
  <c r="F886" i="1"/>
  <c r="E886" i="1"/>
  <c r="D886" i="1"/>
  <c r="C886" i="1"/>
  <c r="B886" i="1"/>
  <c r="A886" i="1"/>
  <c r="J885" i="1"/>
  <c r="G885" i="1"/>
  <c r="F885" i="1"/>
  <c r="E885" i="1"/>
  <c r="D885" i="1"/>
  <c r="C885" i="1"/>
  <c r="B885" i="1"/>
  <c r="A885" i="1"/>
  <c r="J884" i="1"/>
  <c r="G884" i="1"/>
  <c r="F884" i="1"/>
  <c r="E884" i="1"/>
  <c r="D884" i="1"/>
  <c r="C884" i="1"/>
  <c r="B884" i="1"/>
  <c r="A884" i="1"/>
  <c r="J883" i="1"/>
  <c r="G883" i="1"/>
  <c r="F883" i="1"/>
  <c r="E883" i="1"/>
  <c r="D883" i="1"/>
  <c r="C883" i="1"/>
  <c r="B883" i="1"/>
  <c r="A883" i="1"/>
  <c r="J882" i="1"/>
  <c r="G882" i="1"/>
  <c r="F882" i="1"/>
  <c r="E882" i="1"/>
  <c r="D882" i="1"/>
  <c r="C882" i="1"/>
  <c r="B882" i="1"/>
  <c r="A882" i="1"/>
  <c r="J881" i="1"/>
  <c r="G881" i="1"/>
  <c r="F881" i="1"/>
  <c r="E881" i="1"/>
  <c r="D881" i="1"/>
  <c r="C881" i="1"/>
  <c r="B881" i="1"/>
  <c r="A881" i="1"/>
  <c r="J880" i="1"/>
  <c r="G880" i="1"/>
  <c r="F880" i="1"/>
  <c r="E880" i="1"/>
  <c r="D880" i="1"/>
  <c r="C880" i="1"/>
  <c r="B880" i="1"/>
  <c r="A880" i="1"/>
  <c r="J879" i="1"/>
  <c r="G879" i="1"/>
  <c r="F879" i="1"/>
  <c r="E879" i="1"/>
  <c r="D879" i="1"/>
  <c r="C879" i="1"/>
  <c r="B879" i="1"/>
  <c r="A879" i="1"/>
  <c r="J878" i="1"/>
  <c r="G878" i="1"/>
  <c r="F878" i="1"/>
  <c r="E878" i="1"/>
  <c r="D878" i="1"/>
  <c r="C878" i="1"/>
  <c r="B878" i="1"/>
  <c r="A878" i="1"/>
  <c r="J877" i="1"/>
  <c r="G877" i="1"/>
  <c r="F877" i="1"/>
  <c r="E877" i="1"/>
  <c r="D877" i="1"/>
  <c r="C877" i="1"/>
  <c r="B877" i="1"/>
  <c r="A877" i="1"/>
  <c r="J876" i="1"/>
  <c r="G876" i="1"/>
  <c r="F876" i="1"/>
  <c r="E876" i="1"/>
  <c r="C876" i="1"/>
  <c r="B876" i="1"/>
  <c r="A876" i="1"/>
  <c r="J875" i="1"/>
  <c r="G875" i="1"/>
  <c r="F875" i="1"/>
  <c r="E875" i="1"/>
  <c r="D875" i="1"/>
  <c r="C875" i="1"/>
  <c r="B875" i="1"/>
  <c r="A875" i="1"/>
  <c r="J874" i="1"/>
  <c r="G874" i="1"/>
  <c r="F874" i="1"/>
  <c r="E874" i="1"/>
  <c r="D874" i="1"/>
  <c r="C874" i="1"/>
  <c r="B874" i="1"/>
  <c r="A874" i="1"/>
  <c r="J873" i="1"/>
  <c r="G873" i="1"/>
  <c r="F873" i="1"/>
  <c r="E873" i="1"/>
  <c r="D873" i="1"/>
  <c r="C873" i="1"/>
  <c r="B873" i="1"/>
  <c r="A873" i="1"/>
  <c r="J872" i="1"/>
  <c r="G872" i="1"/>
  <c r="F872" i="1"/>
  <c r="E872" i="1"/>
  <c r="D872" i="1"/>
  <c r="C872" i="1"/>
  <c r="B872" i="1"/>
  <c r="A872" i="1"/>
  <c r="J871" i="1"/>
  <c r="G871" i="1"/>
  <c r="F871" i="1"/>
  <c r="E871" i="1"/>
  <c r="C871" i="1"/>
  <c r="B871" i="1"/>
  <c r="A871" i="1"/>
  <c r="J870" i="1"/>
  <c r="G870" i="1"/>
  <c r="F870" i="1"/>
  <c r="E870" i="1"/>
  <c r="D870" i="1"/>
  <c r="C870" i="1"/>
  <c r="B870" i="1"/>
  <c r="A870" i="1"/>
  <c r="J869" i="1"/>
  <c r="G869" i="1"/>
  <c r="F869" i="1"/>
  <c r="E869" i="1"/>
  <c r="D869" i="1"/>
  <c r="C869" i="1"/>
  <c r="B869" i="1"/>
  <c r="A869" i="1"/>
  <c r="J868" i="1"/>
  <c r="G868" i="1"/>
  <c r="F868" i="1"/>
  <c r="E868" i="1"/>
  <c r="D868" i="1"/>
  <c r="C868" i="1"/>
  <c r="B868" i="1"/>
  <c r="A868" i="1"/>
  <c r="J867" i="1"/>
  <c r="G867" i="1"/>
  <c r="F867" i="1"/>
  <c r="E867" i="1"/>
  <c r="D867" i="1"/>
  <c r="C867" i="1"/>
  <c r="B867" i="1"/>
  <c r="A867" i="1"/>
  <c r="J866" i="1"/>
  <c r="G866" i="1"/>
  <c r="F866" i="1"/>
  <c r="E866" i="1"/>
  <c r="D866" i="1"/>
  <c r="C866" i="1"/>
  <c r="B866" i="1"/>
  <c r="A866" i="1"/>
  <c r="J865" i="1"/>
  <c r="G865" i="1"/>
  <c r="F865" i="1"/>
  <c r="E865" i="1"/>
  <c r="D865" i="1"/>
  <c r="C865" i="1"/>
  <c r="B865" i="1"/>
  <c r="A865" i="1"/>
  <c r="J864" i="1"/>
  <c r="G864" i="1"/>
  <c r="F864" i="1"/>
  <c r="E864" i="1"/>
  <c r="D864" i="1"/>
  <c r="C864" i="1"/>
  <c r="B864" i="1"/>
  <c r="A864" i="1"/>
  <c r="J863" i="1"/>
  <c r="G863" i="1"/>
  <c r="F863" i="1"/>
  <c r="E863" i="1"/>
  <c r="D863" i="1"/>
  <c r="C863" i="1"/>
  <c r="B863" i="1"/>
  <c r="A863" i="1"/>
  <c r="J862" i="1"/>
  <c r="G862" i="1"/>
  <c r="F862" i="1"/>
  <c r="E862" i="1"/>
  <c r="D862" i="1"/>
  <c r="C862" i="1"/>
  <c r="B862" i="1"/>
  <c r="A862" i="1"/>
  <c r="J861" i="1"/>
  <c r="G861" i="1"/>
  <c r="F861" i="1"/>
  <c r="E861" i="1"/>
  <c r="D861" i="1"/>
  <c r="C861" i="1"/>
  <c r="B861" i="1"/>
  <c r="A861" i="1"/>
  <c r="J860" i="1"/>
  <c r="G860" i="1"/>
  <c r="F860" i="1"/>
  <c r="E860" i="1"/>
  <c r="D860" i="1"/>
  <c r="C860" i="1"/>
  <c r="B860" i="1"/>
  <c r="A860" i="1"/>
  <c r="J859" i="1"/>
  <c r="G859" i="1"/>
  <c r="F859" i="1"/>
  <c r="E859" i="1"/>
  <c r="D859" i="1"/>
  <c r="C859" i="1"/>
  <c r="B859" i="1"/>
  <c r="A859" i="1"/>
  <c r="J858" i="1"/>
  <c r="G858" i="1"/>
  <c r="F858" i="1"/>
  <c r="E858" i="1"/>
  <c r="D858" i="1"/>
  <c r="C858" i="1"/>
  <c r="B858" i="1"/>
  <c r="A858" i="1"/>
  <c r="J857" i="1"/>
  <c r="G857" i="1"/>
  <c r="F857" i="1"/>
  <c r="E857" i="1"/>
  <c r="D857" i="1"/>
  <c r="C857" i="1"/>
  <c r="B857" i="1"/>
  <c r="A857" i="1"/>
  <c r="J856" i="1"/>
  <c r="G856" i="1"/>
  <c r="F856" i="1"/>
  <c r="E856" i="1"/>
  <c r="D856" i="1"/>
  <c r="C856" i="1"/>
  <c r="B856" i="1"/>
  <c r="A856" i="1"/>
  <c r="J855" i="1"/>
  <c r="G855" i="1"/>
  <c r="F855" i="1"/>
  <c r="E855" i="1"/>
  <c r="D855" i="1"/>
  <c r="C855" i="1"/>
  <c r="B855" i="1"/>
  <c r="A855" i="1"/>
  <c r="J854" i="1"/>
  <c r="G854" i="1"/>
  <c r="F854" i="1"/>
  <c r="E854" i="1"/>
  <c r="D854" i="1"/>
  <c r="C854" i="1"/>
  <c r="B854" i="1"/>
  <c r="A854" i="1"/>
  <c r="J853" i="1"/>
  <c r="G853" i="1"/>
  <c r="F853" i="1"/>
  <c r="E853" i="1"/>
  <c r="D853" i="1"/>
  <c r="C853" i="1"/>
  <c r="B853" i="1"/>
  <c r="A853" i="1"/>
  <c r="J852" i="1"/>
  <c r="G852" i="1"/>
  <c r="F852" i="1"/>
  <c r="E852" i="1"/>
  <c r="D852" i="1"/>
  <c r="C852" i="1"/>
  <c r="B852" i="1"/>
  <c r="A852" i="1"/>
  <c r="J851" i="1"/>
  <c r="G851" i="1"/>
  <c r="F851" i="1"/>
  <c r="E851" i="1"/>
  <c r="D851" i="1"/>
  <c r="C851" i="1"/>
  <c r="B851" i="1"/>
  <c r="A851" i="1"/>
  <c r="J850" i="1"/>
  <c r="G850" i="1"/>
  <c r="F850" i="1"/>
  <c r="E850" i="1"/>
  <c r="D850" i="1"/>
  <c r="C850" i="1"/>
  <c r="B850" i="1"/>
  <c r="A850" i="1"/>
  <c r="J849" i="1"/>
  <c r="G849" i="1"/>
  <c r="F849" i="1"/>
  <c r="E849" i="1"/>
  <c r="D849" i="1"/>
  <c r="C849" i="1"/>
  <c r="B849" i="1"/>
  <c r="A849" i="1"/>
  <c r="J848" i="1"/>
  <c r="G848" i="1"/>
  <c r="F848" i="1"/>
  <c r="E848" i="1"/>
  <c r="D848" i="1"/>
  <c r="C848" i="1"/>
  <c r="B848" i="1"/>
  <c r="A848" i="1"/>
  <c r="J847" i="1"/>
  <c r="G847" i="1"/>
  <c r="F847" i="1"/>
  <c r="E847" i="1"/>
  <c r="D847" i="1"/>
  <c r="C847" i="1"/>
  <c r="B847" i="1"/>
  <c r="A847" i="1"/>
  <c r="J846" i="1"/>
  <c r="G846" i="1"/>
  <c r="F846" i="1"/>
  <c r="E846" i="1"/>
  <c r="D846" i="1"/>
  <c r="C846" i="1"/>
  <c r="B846" i="1"/>
  <c r="A846" i="1"/>
  <c r="J845" i="1"/>
  <c r="G845" i="1"/>
  <c r="F845" i="1"/>
  <c r="E845" i="1"/>
  <c r="D845" i="1"/>
  <c r="C845" i="1"/>
  <c r="B845" i="1"/>
  <c r="A845" i="1"/>
  <c r="J844" i="1"/>
  <c r="G844" i="1"/>
  <c r="F844" i="1"/>
  <c r="E844" i="1"/>
  <c r="D844" i="1"/>
  <c r="C844" i="1"/>
  <c r="B844" i="1"/>
  <c r="A844" i="1"/>
  <c r="J843" i="1"/>
  <c r="G843" i="1"/>
  <c r="F843" i="1"/>
  <c r="E843" i="1"/>
  <c r="D843" i="1"/>
  <c r="C843" i="1"/>
  <c r="B843" i="1"/>
  <c r="A843" i="1"/>
  <c r="J842" i="1"/>
  <c r="G842" i="1"/>
  <c r="F842" i="1"/>
  <c r="E842" i="1"/>
  <c r="D842" i="1"/>
  <c r="C842" i="1"/>
  <c r="B842" i="1"/>
  <c r="A842" i="1"/>
  <c r="J841" i="1"/>
  <c r="G841" i="1"/>
  <c r="F841" i="1"/>
  <c r="E841" i="1"/>
  <c r="D841" i="1"/>
  <c r="C841" i="1"/>
  <c r="B841" i="1"/>
  <c r="A841" i="1"/>
  <c r="J840" i="1"/>
  <c r="G840" i="1"/>
  <c r="F840" i="1"/>
  <c r="E840" i="1"/>
  <c r="D840" i="1"/>
  <c r="C840" i="1"/>
  <c r="B840" i="1"/>
  <c r="A840" i="1"/>
  <c r="J839" i="1"/>
  <c r="G839" i="1"/>
  <c r="F839" i="1"/>
  <c r="E839" i="1"/>
  <c r="D839" i="1"/>
  <c r="C839" i="1"/>
  <c r="B839" i="1"/>
  <c r="A839" i="1"/>
  <c r="J838" i="1"/>
  <c r="G838" i="1"/>
  <c r="F838" i="1"/>
  <c r="E838" i="1"/>
  <c r="D838" i="1"/>
  <c r="C838" i="1"/>
  <c r="B838" i="1"/>
  <c r="A838" i="1"/>
  <c r="J837" i="1"/>
  <c r="G837" i="1"/>
  <c r="F837" i="1"/>
  <c r="E837" i="1"/>
  <c r="D837" i="1"/>
  <c r="C837" i="1"/>
  <c r="B837" i="1"/>
  <c r="A837" i="1"/>
  <c r="J836" i="1"/>
  <c r="G836" i="1"/>
  <c r="F836" i="1"/>
  <c r="E836" i="1"/>
  <c r="D836" i="1"/>
  <c r="C836" i="1"/>
  <c r="B836" i="1"/>
  <c r="A836" i="1"/>
  <c r="J835" i="1"/>
  <c r="G835" i="1"/>
  <c r="F835" i="1"/>
  <c r="E835" i="1"/>
  <c r="D835" i="1"/>
  <c r="C835" i="1"/>
  <c r="B835" i="1"/>
  <c r="A835" i="1"/>
  <c r="J834" i="1"/>
  <c r="G834" i="1"/>
  <c r="F834" i="1"/>
  <c r="E834" i="1"/>
  <c r="D834" i="1"/>
  <c r="C834" i="1"/>
  <c r="B834" i="1"/>
  <c r="A834" i="1"/>
  <c r="J833" i="1"/>
  <c r="G833" i="1"/>
  <c r="F833" i="1"/>
  <c r="E833" i="1"/>
  <c r="D833" i="1"/>
  <c r="C833" i="1"/>
  <c r="B833" i="1"/>
  <c r="A833" i="1"/>
  <c r="J832" i="1"/>
  <c r="G832" i="1"/>
  <c r="F832" i="1"/>
  <c r="E832" i="1"/>
  <c r="D832" i="1"/>
  <c r="C832" i="1"/>
  <c r="B832" i="1"/>
  <c r="A832" i="1"/>
  <c r="J831" i="1"/>
  <c r="G831" i="1"/>
  <c r="F831" i="1"/>
  <c r="E831" i="1"/>
  <c r="D831" i="1"/>
  <c r="C831" i="1"/>
  <c r="B831" i="1"/>
  <c r="A831" i="1"/>
  <c r="J830" i="1"/>
  <c r="G830" i="1"/>
  <c r="F830" i="1"/>
  <c r="E830" i="1"/>
  <c r="D830" i="1"/>
  <c r="C830" i="1"/>
  <c r="B830" i="1"/>
  <c r="A830" i="1"/>
  <c r="J829" i="1"/>
  <c r="G829" i="1"/>
  <c r="F829" i="1"/>
  <c r="E829" i="1"/>
  <c r="D829" i="1"/>
  <c r="C829" i="1"/>
  <c r="B829" i="1"/>
  <c r="A829" i="1"/>
  <c r="J828" i="1"/>
  <c r="G828" i="1"/>
  <c r="F828" i="1"/>
  <c r="E828" i="1"/>
  <c r="D828" i="1"/>
  <c r="C828" i="1"/>
  <c r="B828" i="1"/>
  <c r="A828" i="1"/>
  <c r="J827" i="1"/>
  <c r="G827" i="1"/>
  <c r="F827" i="1"/>
  <c r="E827" i="1"/>
  <c r="D827" i="1"/>
  <c r="C827" i="1"/>
  <c r="B827" i="1"/>
  <c r="A827" i="1"/>
  <c r="J826" i="1"/>
  <c r="G826" i="1"/>
  <c r="F826" i="1"/>
  <c r="E826" i="1"/>
  <c r="D826" i="1"/>
  <c r="C826" i="1"/>
  <c r="B826" i="1"/>
  <c r="A826" i="1"/>
  <c r="J825" i="1"/>
  <c r="G825" i="1"/>
  <c r="F825" i="1"/>
  <c r="E825" i="1"/>
  <c r="D825" i="1"/>
  <c r="C825" i="1"/>
  <c r="B825" i="1"/>
  <c r="A825" i="1"/>
  <c r="J824" i="1"/>
  <c r="G824" i="1"/>
  <c r="F824" i="1"/>
  <c r="E824" i="1"/>
  <c r="D824" i="1"/>
  <c r="C824" i="1"/>
  <c r="B824" i="1"/>
  <c r="A824" i="1"/>
  <c r="J823" i="1"/>
  <c r="G823" i="1"/>
  <c r="F823" i="1"/>
  <c r="E823" i="1"/>
  <c r="C823" i="1"/>
  <c r="B823" i="1"/>
  <c r="A823" i="1"/>
  <c r="J822" i="1"/>
  <c r="G822" i="1"/>
  <c r="F822" i="1"/>
  <c r="E822" i="1"/>
  <c r="D822" i="1"/>
  <c r="C822" i="1"/>
  <c r="B822" i="1"/>
  <c r="A822" i="1"/>
  <c r="J821" i="1"/>
  <c r="G821" i="1"/>
  <c r="F821" i="1"/>
  <c r="E821" i="1"/>
  <c r="D821" i="1"/>
  <c r="C821" i="1"/>
  <c r="B821" i="1"/>
  <c r="A821" i="1"/>
  <c r="J820" i="1"/>
  <c r="G820" i="1"/>
  <c r="F820" i="1"/>
  <c r="E820" i="1"/>
  <c r="D820" i="1"/>
  <c r="C820" i="1"/>
  <c r="B820" i="1"/>
  <c r="A820" i="1"/>
  <c r="J819" i="1"/>
  <c r="G819" i="1"/>
  <c r="F819" i="1"/>
  <c r="E819" i="1"/>
  <c r="C819" i="1"/>
  <c r="B819" i="1"/>
  <c r="A819" i="1"/>
  <c r="J818" i="1"/>
  <c r="G818" i="1"/>
  <c r="F818" i="1"/>
  <c r="E818" i="1"/>
  <c r="D818" i="1"/>
  <c r="C818" i="1"/>
  <c r="B818" i="1"/>
  <c r="A818" i="1"/>
  <c r="J817" i="1"/>
  <c r="G817" i="1"/>
  <c r="F817" i="1"/>
  <c r="E817" i="1"/>
  <c r="D817" i="1"/>
  <c r="C817" i="1"/>
  <c r="B817" i="1"/>
  <c r="A817" i="1"/>
  <c r="J816" i="1"/>
  <c r="G816" i="1"/>
  <c r="F816" i="1"/>
  <c r="E816" i="1"/>
  <c r="D816" i="1"/>
  <c r="C816" i="1"/>
  <c r="B816" i="1"/>
  <c r="A816" i="1"/>
  <c r="J815" i="1"/>
  <c r="G815" i="1"/>
  <c r="F815" i="1"/>
  <c r="E815" i="1"/>
  <c r="D815" i="1"/>
  <c r="C815" i="1"/>
  <c r="B815" i="1"/>
  <c r="A815" i="1"/>
  <c r="J814" i="1"/>
  <c r="G814" i="1"/>
  <c r="F814" i="1"/>
  <c r="E814" i="1"/>
  <c r="D814" i="1"/>
  <c r="C814" i="1"/>
  <c r="B814" i="1"/>
  <c r="A814" i="1"/>
  <c r="J813" i="1"/>
  <c r="G813" i="1"/>
  <c r="F813" i="1"/>
  <c r="E813" i="1"/>
  <c r="D813" i="1"/>
  <c r="C813" i="1"/>
  <c r="B813" i="1"/>
  <c r="A813" i="1"/>
  <c r="J812" i="1"/>
  <c r="G812" i="1"/>
  <c r="F812" i="1"/>
  <c r="E812" i="1"/>
  <c r="D812" i="1"/>
  <c r="C812" i="1"/>
  <c r="B812" i="1"/>
  <c r="A812" i="1"/>
  <c r="J811" i="1"/>
  <c r="G811" i="1"/>
  <c r="F811" i="1"/>
  <c r="E811" i="1"/>
  <c r="D811" i="1"/>
  <c r="C811" i="1"/>
  <c r="B811" i="1"/>
  <c r="A811" i="1"/>
  <c r="J810" i="1"/>
  <c r="G810" i="1"/>
  <c r="F810" i="1"/>
  <c r="E810" i="1"/>
  <c r="D810" i="1"/>
  <c r="C810" i="1"/>
  <c r="B810" i="1"/>
  <c r="A810" i="1"/>
  <c r="J809" i="1"/>
  <c r="G809" i="1"/>
  <c r="F809" i="1"/>
  <c r="E809" i="1"/>
  <c r="D809" i="1"/>
  <c r="C809" i="1"/>
  <c r="B809" i="1"/>
  <c r="A809" i="1"/>
  <c r="J808" i="1"/>
  <c r="G808" i="1"/>
  <c r="F808" i="1"/>
  <c r="E808" i="1"/>
  <c r="C808" i="1"/>
  <c r="B808" i="1"/>
  <c r="A808" i="1"/>
  <c r="J807" i="1"/>
  <c r="G807" i="1"/>
  <c r="F807" i="1"/>
  <c r="E807" i="1"/>
  <c r="D807" i="1"/>
  <c r="C807" i="1"/>
  <c r="B807" i="1"/>
  <c r="A807" i="1"/>
  <c r="J806" i="1"/>
  <c r="G806" i="1"/>
  <c r="F806" i="1"/>
  <c r="E806" i="1"/>
  <c r="D806" i="1"/>
  <c r="C806" i="1"/>
  <c r="B806" i="1"/>
  <c r="A806" i="1"/>
  <c r="J805" i="1"/>
  <c r="G805" i="1"/>
  <c r="F805" i="1"/>
  <c r="E805" i="1"/>
  <c r="D805" i="1"/>
  <c r="C805" i="1"/>
  <c r="B805" i="1"/>
  <c r="A805" i="1"/>
  <c r="J804" i="1"/>
  <c r="G804" i="1"/>
  <c r="F804" i="1"/>
  <c r="E804" i="1"/>
  <c r="C804" i="1"/>
  <c r="B804" i="1"/>
  <c r="A804" i="1"/>
  <c r="J803" i="1"/>
  <c r="I803" i="1"/>
  <c r="H803" i="1"/>
  <c r="G803" i="1"/>
  <c r="F803" i="1"/>
  <c r="E803" i="1"/>
  <c r="C803" i="1"/>
  <c r="B803" i="1"/>
  <c r="A803" i="1"/>
  <c r="J802" i="1"/>
  <c r="G802" i="1"/>
  <c r="F802" i="1"/>
  <c r="E802" i="1"/>
  <c r="D802" i="1"/>
  <c r="C802" i="1"/>
  <c r="B802" i="1"/>
  <c r="A802" i="1"/>
  <c r="J801" i="1"/>
  <c r="G801" i="1"/>
  <c r="F801" i="1"/>
  <c r="E801" i="1"/>
  <c r="D801" i="1"/>
  <c r="C801" i="1"/>
  <c r="B801" i="1"/>
  <c r="A801" i="1"/>
  <c r="J800" i="1"/>
  <c r="G800" i="1"/>
  <c r="F800" i="1"/>
  <c r="E800" i="1"/>
  <c r="D800" i="1"/>
  <c r="C800" i="1"/>
  <c r="B800" i="1"/>
  <c r="A800" i="1"/>
  <c r="J799" i="1"/>
  <c r="G799" i="1"/>
  <c r="F799" i="1"/>
  <c r="E799" i="1"/>
  <c r="D799" i="1"/>
  <c r="C799" i="1"/>
  <c r="B799" i="1"/>
  <c r="A799" i="1"/>
  <c r="J798" i="1"/>
  <c r="G798" i="1"/>
  <c r="F798" i="1"/>
  <c r="E798" i="1"/>
  <c r="D798" i="1"/>
  <c r="C798" i="1"/>
  <c r="B798" i="1"/>
  <c r="A798" i="1"/>
  <c r="J797" i="1"/>
  <c r="G797" i="1"/>
  <c r="F797" i="1"/>
  <c r="E797" i="1"/>
  <c r="D797" i="1"/>
  <c r="C797" i="1"/>
  <c r="B797" i="1"/>
  <c r="A797" i="1"/>
  <c r="J796" i="1"/>
  <c r="G796" i="1"/>
  <c r="F796" i="1"/>
  <c r="E796" i="1"/>
  <c r="D796" i="1"/>
  <c r="C796" i="1"/>
  <c r="B796" i="1"/>
  <c r="A796" i="1"/>
  <c r="J795" i="1"/>
  <c r="G795" i="1"/>
  <c r="F795" i="1"/>
  <c r="E795" i="1"/>
  <c r="D795" i="1"/>
  <c r="C795" i="1"/>
  <c r="B795" i="1"/>
  <c r="A795" i="1"/>
  <c r="J794" i="1"/>
  <c r="G794" i="1"/>
  <c r="F794" i="1"/>
  <c r="E794" i="1"/>
  <c r="C794" i="1"/>
  <c r="B794" i="1"/>
  <c r="A794" i="1"/>
  <c r="J793" i="1"/>
  <c r="G793" i="1"/>
  <c r="F793" i="1"/>
  <c r="E793" i="1"/>
  <c r="D793" i="1"/>
  <c r="C793" i="1"/>
  <c r="B793" i="1"/>
  <c r="A793" i="1"/>
  <c r="J792" i="1"/>
  <c r="G792" i="1"/>
  <c r="F792" i="1"/>
  <c r="E792" i="1"/>
  <c r="D792" i="1"/>
  <c r="C792" i="1"/>
  <c r="B792" i="1"/>
  <c r="A792" i="1"/>
  <c r="J791" i="1"/>
  <c r="G791" i="1"/>
  <c r="F791" i="1"/>
  <c r="E791" i="1"/>
  <c r="D791" i="1"/>
  <c r="C791" i="1"/>
  <c r="B791" i="1"/>
  <c r="A791" i="1"/>
  <c r="J790" i="1"/>
  <c r="G790" i="1"/>
  <c r="F790" i="1"/>
  <c r="E790" i="1"/>
  <c r="D790" i="1"/>
  <c r="C790" i="1"/>
  <c r="B790" i="1"/>
  <c r="A790" i="1"/>
  <c r="J789" i="1"/>
  <c r="G789" i="1"/>
  <c r="F789" i="1"/>
  <c r="E789" i="1"/>
  <c r="D789" i="1"/>
  <c r="C789" i="1"/>
  <c r="B789" i="1"/>
  <c r="A789" i="1"/>
  <c r="J788" i="1"/>
  <c r="G788" i="1"/>
  <c r="F788" i="1"/>
  <c r="E788" i="1"/>
  <c r="D788" i="1"/>
  <c r="C788" i="1"/>
  <c r="B788" i="1"/>
  <c r="A788" i="1"/>
  <c r="J787" i="1"/>
  <c r="G787" i="1"/>
  <c r="F787" i="1"/>
  <c r="E787" i="1"/>
  <c r="D787" i="1"/>
  <c r="C787" i="1"/>
  <c r="B787" i="1"/>
  <c r="A787" i="1"/>
  <c r="J786" i="1"/>
  <c r="G786" i="1"/>
  <c r="F786" i="1"/>
  <c r="E786" i="1"/>
  <c r="D786" i="1"/>
  <c r="C786" i="1"/>
  <c r="B786" i="1"/>
  <c r="A786" i="1"/>
  <c r="J785" i="1"/>
  <c r="G785" i="1"/>
  <c r="F785" i="1"/>
  <c r="E785" i="1"/>
  <c r="D785" i="1"/>
  <c r="C785" i="1"/>
  <c r="B785" i="1"/>
  <c r="A785" i="1"/>
  <c r="J784" i="1"/>
  <c r="G784" i="1"/>
  <c r="F784" i="1"/>
  <c r="E784" i="1"/>
  <c r="D784" i="1"/>
  <c r="C784" i="1"/>
  <c r="B784" i="1"/>
  <c r="A784" i="1"/>
  <c r="J783" i="1"/>
  <c r="G783" i="1"/>
  <c r="F783" i="1"/>
  <c r="E783" i="1"/>
  <c r="D783" i="1"/>
  <c r="C783" i="1"/>
  <c r="B783" i="1"/>
  <c r="A783" i="1"/>
  <c r="J782" i="1"/>
  <c r="G782" i="1"/>
  <c r="F782" i="1"/>
  <c r="E782" i="1"/>
  <c r="D782" i="1"/>
  <c r="C782" i="1"/>
  <c r="B782" i="1"/>
  <c r="A782" i="1"/>
  <c r="J781" i="1"/>
  <c r="G781" i="1"/>
  <c r="F781" i="1"/>
  <c r="E781" i="1"/>
  <c r="D781" i="1"/>
  <c r="C781" i="1"/>
  <c r="B781" i="1"/>
  <c r="A781" i="1"/>
  <c r="J780" i="1"/>
  <c r="G780" i="1"/>
  <c r="F780" i="1"/>
  <c r="E780" i="1"/>
  <c r="D780" i="1"/>
  <c r="C780" i="1"/>
  <c r="B780" i="1"/>
  <c r="A780" i="1"/>
  <c r="J779" i="1"/>
  <c r="G779" i="1"/>
  <c r="F779" i="1"/>
  <c r="E779" i="1"/>
  <c r="D779" i="1"/>
  <c r="C779" i="1"/>
  <c r="B779" i="1"/>
  <c r="A779" i="1"/>
  <c r="J778" i="1"/>
  <c r="G778" i="1"/>
  <c r="F778" i="1"/>
  <c r="E778" i="1"/>
  <c r="D778" i="1"/>
  <c r="C778" i="1"/>
  <c r="B778" i="1"/>
  <c r="A778" i="1"/>
  <c r="J777" i="1"/>
  <c r="G777" i="1"/>
  <c r="F777" i="1"/>
  <c r="E777" i="1"/>
  <c r="D777" i="1"/>
  <c r="C777" i="1"/>
  <c r="B777" i="1"/>
  <c r="A777" i="1"/>
  <c r="J776" i="1"/>
  <c r="G776" i="1"/>
  <c r="F776" i="1"/>
  <c r="E776" i="1"/>
  <c r="D776" i="1"/>
  <c r="C776" i="1"/>
  <c r="B776" i="1"/>
  <c r="A776" i="1"/>
  <c r="J775" i="1"/>
  <c r="G775" i="1"/>
  <c r="F775" i="1"/>
  <c r="E775" i="1"/>
  <c r="D775" i="1"/>
  <c r="C775" i="1"/>
  <c r="B775" i="1"/>
  <c r="A775" i="1"/>
  <c r="J774" i="1"/>
  <c r="G774" i="1"/>
  <c r="F774" i="1"/>
  <c r="E774" i="1"/>
  <c r="D774" i="1"/>
  <c r="C774" i="1"/>
  <c r="B774" i="1"/>
  <c r="A774" i="1"/>
  <c r="J773" i="1"/>
  <c r="G773" i="1"/>
  <c r="F773" i="1"/>
  <c r="E773" i="1"/>
  <c r="D773" i="1"/>
  <c r="C773" i="1"/>
  <c r="B773" i="1"/>
  <c r="A773" i="1"/>
  <c r="J772" i="1"/>
  <c r="G772" i="1"/>
  <c r="F772" i="1"/>
  <c r="E772" i="1"/>
  <c r="D772" i="1"/>
  <c r="C772" i="1"/>
  <c r="B772" i="1"/>
  <c r="A772" i="1"/>
  <c r="J771" i="1"/>
  <c r="G771" i="1"/>
  <c r="F771" i="1"/>
  <c r="E771" i="1"/>
  <c r="D771" i="1"/>
  <c r="C771" i="1"/>
  <c r="B771" i="1"/>
  <c r="A771" i="1"/>
  <c r="J770" i="1"/>
  <c r="G770" i="1"/>
  <c r="F770" i="1"/>
  <c r="E770" i="1"/>
  <c r="D770" i="1"/>
  <c r="C770" i="1"/>
  <c r="B770" i="1"/>
  <c r="A770" i="1"/>
  <c r="J769" i="1"/>
  <c r="G769" i="1"/>
  <c r="F769" i="1"/>
  <c r="E769" i="1"/>
  <c r="D769" i="1"/>
  <c r="C769" i="1"/>
  <c r="B769" i="1"/>
  <c r="A769" i="1"/>
  <c r="J768" i="1"/>
  <c r="G768" i="1"/>
  <c r="F768" i="1"/>
  <c r="E768" i="1"/>
  <c r="D768" i="1"/>
  <c r="C768" i="1"/>
  <c r="B768" i="1"/>
  <c r="A768" i="1"/>
  <c r="J767" i="1"/>
  <c r="G767" i="1"/>
  <c r="F767" i="1"/>
  <c r="E767" i="1"/>
  <c r="D767" i="1"/>
  <c r="C767" i="1"/>
  <c r="B767" i="1"/>
  <c r="A767" i="1"/>
  <c r="J766" i="1"/>
  <c r="G766" i="1"/>
  <c r="F766" i="1"/>
  <c r="E766" i="1"/>
  <c r="D766" i="1"/>
  <c r="C766" i="1"/>
  <c r="B766" i="1"/>
  <c r="A766" i="1"/>
  <c r="J765" i="1"/>
  <c r="G765" i="1"/>
  <c r="F765" i="1"/>
  <c r="E765" i="1"/>
  <c r="D765" i="1"/>
  <c r="C765" i="1"/>
  <c r="B765" i="1"/>
  <c r="A765" i="1"/>
  <c r="J764" i="1"/>
  <c r="G764" i="1"/>
  <c r="F764" i="1"/>
  <c r="E764" i="1"/>
  <c r="D764" i="1"/>
  <c r="C764" i="1"/>
  <c r="B764" i="1"/>
  <c r="A764" i="1"/>
  <c r="J763" i="1"/>
  <c r="G763" i="1"/>
  <c r="F763" i="1"/>
  <c r="E763" i="1"/>
  <c r="D763" i="1"/>
  <c r="C763" i="1"/>
  <c r="B763" i="1"/>
  <c r="A763" i="1"/>
  <c r="J762" i="1"/>
  <c r="G762" i="1"/>
  <c r="F762" i="1"/>
  <c r="E762" i="1"/>
  <c r="C762" i="1"/>
  <c r="B762" i="1"/>
  <c r="A762" i="1"/>
  <c r="J761" i="1"/>
  <c r="G761" i="1"/>
  <c r="F761" i="1"/>
  <c r="E761" i="1"/>
  <c r="D761" i="1"/>
  <c r="C761" i="1"/>
  <c r="B761" i="1"/>
  <c r="A761" i="1"/>
  <c r="J760" i="1"/>
  <c r="G760" i="1"/>
  <c r="F760" i="1"/>
  <c r="E760" i="1"/>
  <c r="D760" i="1"/>
  <c r="C760" i="1"/>
  <c r="B760" i="1"/>
  <c r="A760" i="1"/>
  <c r="J759" i="1"/>
  <c r="G759" i="1"/>
  <c r="F759" i="1"/>
  <c r="E759" i="1"/>
  <c r="D759" i="1"/>
  <c r="C759" i="1"/>
  <c r="B759" i="1"/>
  <c r="A759" i="1"/>
  <c r="J758" i="1"/>
  <c r="G758" i="1"/>
  <c r="F758" i="1"/>
  <c r="E758" i="1"/>
  <c r="D758" i="1"/>
  <c r="C758" i="1"/>
  <c r="B758" i="1"/>
  <c r="A758" i="1"/>
  <c r="J757" i="1"/>
  <c r="G757" i="1"/>
  <c r="F757" i="1"/>
  <c r="E757" i="1"/>
  <c r="D757" i="1"/>
  <c r="C757" i="1"/>
  <c r="B757" i="1"/>
  <c r="A757" i="1"/>
  <c r="J756" i="1"/>
  <c r="G756" i="1"/>
  <c r="F756" i="1"/>
  <c r="E756" i="1"/>
  <c r="D756" i="1"/>
  <c r="C756" i="1"/>
  <c r="B756" i="1"/>
  <c r="A756" i="1"/>
  <c r="J755" i="1"/>
  <c r="G755" i="1"/>
  <c r="F755" i="1"/>
  <c r="E755" i="1"/>
  <c r="D755" i="1"/>
  <c r="C755" i="1"/>
  <c r="B755" i="1"/>
  <c r="A755" i="1"/>
  <c r="J754" i="1"/>
  <c r="G754" i="1"/>
  <c r="F754" i="1"/>
  <c r="E754" i="1"/>
  <c r="D754" i="1"/>
  <c r="C754" i="1"/>
  <c r="B754" i="1"/>
  <c r="A754" i="1"/>
  <c r="J753" i="1"/>
  <c r="G753" i="1"/>
  <c r="F753" i="1"/>
  <c r="E753" i="1"/>
  <c r="D753" i="1"/>
  <c r="C753" i="1"/>
  <c r="B753" i="1"/>
  <c r="A753" i="1"/>
  <c r="J752" i="1"/>
  <c r="G752" i="1"/>
  <c r="F752" i="1"/>
  <c r="E752" i="1"/>
  <c r="D752" i="1"/>
  <c r="C752" i="1"/>
  <c r="B752" i="1"/>
  <c r="A752" i="1"/>
  <c r="J751" i="1"/>
  <c r="G751" i="1"/>
  <c r="F751" i="1"/>
  <c r="E751" i="1"/>
  <c r="D751" i="1"/>
  <c r="C751" i="1"/>
  <c r="B751" i="1"/>
  <c r="A751" i="1"/>
  <c r="J750" i="1"/>
  <c r="G750" i="1"/>
  <c r="F750" i="1"/>
  <c r="E750" i="1"/>
  <c r="D750" i="1"/>
  <c r="C750" i="1"/>
  <c r="B750" i="1"/>
  <c r="A750" i="1"/>
  <c r="J749" i="1"/>
  <c r="G749" i="1"/>
  <c r="F749" i="1"/>
  <c r="E749" i="1"/>
  <c r="D749" i="1"/>
  <c r="C749" i="1"/>
  <c r="B749" i="1"/>
  <c r="A749" i="1"/>
  <c r="J748" i="1"/>
  <c r="G748" i="1"/>
  <c r="F748" i="1"/>
  <c r="E748" i="1"/>
  <c r="D748" i="1"/>
  <c r="C748" i="1"/>
  <c r="B748" i="1"/>
  <c r="A748" i="1"/>
  <c r="J747" i="1"/>
  <c r="G747" i="1"/>
  <c r="F747" i="1"/>
  <c r="E747" i="1"/>
  <c r="D747" i="1"/>
  <c r="C747" i="1"/>
  <c r="B747" i="1"/>
  <c r="A747" i="1"/>
  <c r="J746" i="1"/>
  <c r="G746" i="1"/>
  <c r="F746" i="1"/>
  <c r="E746" i="1"/>
  <c r="D746" i="1"/>
  <c r="C746" i="1"/>
  <c r="B746" i="1"/>
  <c r="A746" i="1"/>
  <c r="J745" i="1"/>
  <c r="G745" i="1"/>
  <c r="F745" i="1"/>
  <c r="E745" i="1"/>
  <c r="D745" i="1"/>
  <c r="C745" i="1"/>
  <c r="B745" i="1"/>
  <c r="A745" i="1"/>
  <c r="J744" i="1"/>
  <c r="G744" i="1"/>
  <c r="F744" i="1"/>
  <c r="E744" i="1"/>
  <c r="D744" i="1"/>
  <c r="C744" i="1"/>
  <c r="B744" i="1"/>
  <c r="A744" i="1"/>
  <c r="J743" i="1"/>
  <c r="G743" i="1"/>
  <c r="F743" i="1"/>
  <c r="E743" i="1"/>
  <c r="D743" i="1"/>
  <c r="C743" i="1"/>
  <c r="B743" i="1"/>
  <c r="A743" i="1"/>
  <c r="J742" i="1"/>
  <c r="G742" i="1"/>
  <c r="F742" i="1"/>
  <c r="E742" i="1"/>
  <c r="D742" i="1"/>
  <c r="C742" i="1"/>
  <c r="B742" i="1"/>
  <c r="A742" i="1"/>
  <c r="J741" i="1"/>
  <c r="G741" i="1"/>
  <c r="F741" i="1"/>
  <c r="E741" i="1"/>
  <c r="D741" i="1"/>
  <c r="C741" i="1"/>
  <c r="B741" i="1"/>
  <c r="A741" i="1"/>
  <c r="J740" i="1"/>
  <c r="G740" i="1"/>
  <c r="F740" i="1"/>
  <c r="E740" i="1"/>
  <c r="D740" i="1"/>
  <c r="C740" i="1"/>
  <c r="B740" i="1"/>
  <c r="A740" i="1"/>
  <c r="J739" i="1"/>
  <c r="G739" i="1"/>
  <c r="F739" i="1"/>
  <c r="E739" i="1"/>
  <c r="D739" i="1"/>
  <c r="C739" i="1"/>
  <c r="B739" i="1"/>
  <c r="A739" i="1"/>
  <c r="J738" i="1"/>
  <c r="G738" i="1"/>
  <c r="F738" i="1"/>
  <c r="E738" i="1"/>
  <c r="D738" i="1"/>
  <c r="C738" i="1"/>
  <c r="B738" i="1"/>
  <c r="A738" i="1"/>
  <c r="J737" i="1"/>
  <c r="G737" i="1"/>
  <c r="F737" i="1"/>
  <c r="E737" i="1"/>
  <c r="D737" i="1"/>
  <c r="C737" i="1"/>
  <c r="B737" i="1"/>
  <c r="A737" i="1"/>
  <c r="J736" i="1"/>
  <c r="G736" i="1"/>
  <c r="F736" i="1"/>
  <c r="E736" i="1"/>
  <c r="D736" i="1"/>
  <c r="C736" i="1"/>
  <c r="B736" i="1"/>
  <c r="A736" i="1"/>
  <c r="J735" i="1"/>
  <c r="G735" i="1"/>
  <c r="F735" i="1"/>
  <c r="E735" i="1"/>
  <c r="D735" i="1"/>
  <c r="C735" i="1"/>
  <c r="B735" i="1"/>
  <c r="A735" i="1"/>
  <c r="J734" i="1"/>
  <c r="G734" i="1"/>
  <c r="F734" i="1"/>
  <c r="E734" i="1"/>
  <c r="D734" i="1"/>
  <c r="C734" i="1"/>
  <c r="B734" i="1"/>
  <c r="A734" i="1"/>
  <c r="J733" i="1"/>
  <c r="G733" i="1"/>
  <c r="F733" i="1"/>
  <c r="E733" i="1"/>
  <c r="D733" i="1"/>
  <c r="C733" i="1"/>
  <c r="B733" i="1"/>
  <c r="A733" i="1"/>
  <c r="J732" i="1"/>
  <c r="G732" i="1"/>
  <c r="F732" i="1"/>
  <c r="E732" i="1"/>
  <c r="D732" i="1"/>
  <c r="C732" i="1"/>
  <c r="B732" i="1"/>
  <c r="A732" i="1"/>
  <c r="J731" i="1"/>
  <c r="G731" i="1"/>
  <c r="F731" i="1"/>
  <c r="E731" i="1"/>
  <c r="D731" i="1"/>
  <c r="C731" i="1"/>
  <c r="B731" i="1"/>
  <c r="A731" i="1"/>
  <c r="J730" i="1"/>
  <c r="G730" i="1"/>
  <c r="F730" i="1"/>
  <c r="E730" i="1"/>
  <c r="D730" i="1"/>
  <c r="C730" i="1"/>
  <c r="B730" i="1"/>
  <c r="A730" i="1"/>
  <c r="J729" i="1"/>
  <c r="G729" i="1"/>
  <c r="F729" i="1"/>
  <c r="E729" i="1"/>
  <c r="D729" i="1"/>
  <c r="C729" i="1"/>
  <c r="B729" i="1"/>
  <c r="A729" i="1"/>
  <c r="J728" i="1"/>
  <c r="G728" i="1"/>
  <c r="F728" i="1"/>
  <c r="E728" i="1"/>
  <c r="D728" i="1"/>
  <c r="C728" i="1"/>
  <c r="B728" i="1"/>
  <c r="A728" i="1"/>
  <c r="J727" i="1"/>
  <c r="G727" i="1"/>
  <c r="F727" i="1"/>
  <c r="E727" i="1"/>
  <c r="D727" i="1"/>
  <c r="C727" i="1"/>
  <c r="B727" i="1"/>
  <c r="A727" i="1"/>
  <c r="J726" i="1"/>
  <c r="G726" i="1"/>
  <c r="F726" i="1"/>
  <c r="E726" i="1"/>
  <c r="D726" i="1"/>
  <c r="C726" i="1"/>
  <c r="B726" i="1"/>
  <c r="A726" i="1"/>
  <c r="J725" i="1"/>
  <c r="G725" i="1"/>
  <c r="F725" i="1"/>
  <c r="E725" i="1"/>
  <c r="D725" i="1"/>
  <c r="C725" i="1"/>
  <c r="B725" i="1"/>
  <c r="A725" i="1"/>
  <c r="J724" i="1"/>
  <c r="G724" i="1"/>
  <c r="F724" i="1"/>
  <c r="E724" i="1"/>
  <c r="D724" i="1"/>
  <c r="C724" i="1"/>
  <c r="B724" i="1"/>
  <c r="A724" i="1"/>
  <c r="J723" i="1"/>
  <c r="G723" i="1"/>
  <c r="F723" i="1"/>
  <c r="E723" i="1"/>
  <c r="D723" i="1"/>
  <c r="C723" i="1"/>
  <c r="B723" i="1"/>
  <c r="A723" i="1"/>
  <c r="J722" i="1"/>
  <c r="G722" i="1"/>
  <c r="F722" i="1"/>
  <c r="E722" i="1"/>
  <c r="D722" i="1"/>
  <c r="C722" i="1"/>
  <c r="B722" i="1"/>
  <c r="A722" i="1"/>
  <c r="J721" i="1"/>
  <c r="G721" i="1"/>
  <c r="F721" i="1"/>
  <c r="E721" i="1"/>
  <c r="D721" i="1"/>
  <c r="C721" i="1"/>
  <c r="B721" i="1"/>
  <c r="A721" i="1"/>
  <c r="J720" i="1"/>
  <c r="G720" i="1"/>
  <c r="F720" i="1"/>
  <c r="E720" i="1"/>
  <c r="D720" i="1"/>
  <c r="C720" i="1"/>
  <c r="B720" i="1"/>
  <c r="A720" i="1"/>
  <c r="J719" i="1"/>
  <c r="G719" i="1"/>
  <c r="F719" i="1"/>
  <c r="E719" i="1"/>
  <c r="D719" i="1"/>
  <c r="C719" i="1"/>
  <c r="B719" i="1"/>
  <c r="A719" i="1"/>
  <c r="J718" i="1"/>
  <c r="G718" i="1"/>
  <c r="F718" i="1"/>
  <c r="E718" i="1"/>
  <c r="D718" i="1"/>
  <c r="C718" i="1"/>
  <c r="B718" i="1"/>
  <c r="A718" i="1"/>
  <c r="J717" i="1"/>
  <c r="G717" i="1"/>
  <c r="F717" i="1"/>
  <c r="E717" i="1"/>
  <c r="D717" i="1"/>
  <c r="C717" i="1"/>
  <c r="B717" i="1"/>
  <c r="A717" i="1"/>
  <c r="J716" i="1"/>
  <c r="G716" i="1"/>
  <c r="F716" i="1"/>
  <c r="E716" i="1"/>
  <c r="D716" i="1"/>
  <c r="C716" i="1"/>
  <c r="B716" i="1"/>
  <c r="A716" i="1"/>
  <c r="J715" i="1"/>
  <c r="G715" i="1"/>
  <c r="F715" i="1"/>
  <c r="E715" i="1"/>
  <c r="D715" i="1"/>
  <c r="C715" i="1"/>
  <c r="B715" i="1"/>
  <c r="A715" i="1"/>
  <c r="J714" i="1"/>
  <c r="G714" i="1"/>
  <c r="F714" i="1"/>
  <c r="E714" i="1"/>
  <c r="D714" i="1"/>
  <c r="C714" i="1"/>
  <c r="B714" i="1"/>
  <c r="A714" i="1"/>
  <c r="J713" i="1"/>
  <c r="G713" i="1"/>
  <c r="F713" i="1"/>
  <c r="E713" i="1"/>
  <c r="D713" i="1"/>
  <c r="C713" i="1"/>
  <c r="B713" i="1"/>
  <c r="A713" i="1"/>
  <c r="J712" i="1"/>
  <c r="G712" i="1"/>
  <c r="F712" i="1"/>
  <c r="E712" i="1"/>
  <c r="D712" i="1"/>
  <c r="C712" i="1"/>
  <c r="B712" i="1"/>
  <c r="A712" i="1"/>
  <c r="J711" i="1"/>
  <c r="G711" i="1"/>
  <c r="F711" i="1"/>
  <c r="E711" i="1"/>
  <c r="D711" i="1"/>
  <c r="C711" i="1"/>
  <c r="B711" i="1"/>
  <c r="A711" i="1"/>
  <c r="J710" i="1"/>
  <c r="G710" i="1"/>
  <c r="F710" i="1"/>
  <c r="E710" i="1"/>
  <c r="D710" i="1"/>
  <c r="C710" i="1"/>
  <c r="B710" i="1"/>
  <c r="A710" i="1"/>
  <c r="J709" i="1"/>
  <c r="G709" i="1"/>
  <c r="F709" i="1"/>
  <c r="E709" i="1"/>
  <c r="C709" i="1"/>
  <c r="B709" i="1"/>
  <c r="A709" i="1"/>
  <c r="J708" i="1"/>
  <c r="G708" i="1"/>
  <c r="F708" i="1"/>
  <c r="E708" i="1"/>
  <c r="D708" i="1"/>
  <c r="C708" i="1"/>
  <c r="B708" i="1"/>
  <c r="A708" i="1"/>
  <c r="J707" i="1"/>
  <c r="G707" i="1"/>
  <c r="F707" i="1"/>
  <c r="E707" i="1"/>
  <c r="D707" i="1"/>
  <c r="C707" i="1"/>
  <c r="B707" i="1"/>
  <c r="A707" i="1"/>
  <c r="J706" i="1"/>
  <c r="G706" i="1"/>
  <c r="F706" i="1"/>
  <c r="E706" i="1"/>
  <c r="D706" i="1"/>
  <c r="C706" i="1"/>
  <c r="B706" i="1"/>
  <c r="A706" i="1"/>
  <c r="J705" i="1"/>
  <c r="G705" i="1"/>
  <c r="F705" i="1"/>
  <c r="E705" i="1"/>
  <c r="D705" i="1"/>
  <c r="C705" i="1"/>
  <c r="B705" i="1"/>
  <c r="A705" i="1"/>
  <c r="J704" i="1"/>
  <c r="G704" i="1"/>
  <c r="F704" i="1"/>
  <c r="E704" i="1"/>
  <c r="D704" i="1"/>
  <c r="C704" i="1"/>
  <c r="B704" i="1"/>
  <c r="A704" i="1"/>
  <c r="J703" i="1"/>
  <c r="G703" i="1"/>
  <c r="F703" i="1"/>
  <c r="E703" i="1"/>
  <c r="D703" i="1"/>
  <c r="C703" i="1"/>
  <c r="B703" i="1"/>
  <c r="A703" i="1"/>
  <c r="J702" i="1"/>
  <c r="G702" i="1"/>
  <c r="F702" i="1"/>
  <c r="E702" i="1"/>
  <c r="D702" i="1"/>
  <c r="C702" i="1"/>
  <c r="B702" i="1"/>
  <c r="A702" i="1"/>
  <c r="J701" i="1"/>
  <c r="G701" i="1"/>
  <c r="F701" i="1"/>
  <c r="E701" i="1"/>
  <c r="D701" i="1"/>
  <c r="C701" i="1"/>
  <c r="B701" i="1"/>
  <c r="A701" i="1"/>
  <c r="J700" i="1"/>
  <c r="G700" i="1"/>
  <c r="F700" i="1"/>
  <c r="E700" i="1"/>
  <c r="D700" i="1"/>
  <c r="C700" i="1"/>
  <c r="B700" i="1"/>
  <c r="A700" i="1"/>
  <c r="J699" i="1"/>
  <c r="G699" i="1"/>
  <c r="F699" i="1"/>
  <c r="E699" i="1"/>
  <c r="D699" i="1"/>
  <c r="C699" i="1"/>
  <c r="B699" i="1"/>
  <c r="A699" i="1"/>
  <c r="J698" i="1"/>
  <c r="G698" i="1"/>
  <c r="F698" i="1"/>
  <c r="E698" i="1"/>
  <c r="D698" i="1"/>
  <c r="C698" i="1"/>
  <c r="B698" i="1"/>
  <c r="A698" i="1"/>
  <c r="J697" i="1"/>
  <c r="G697" i="1"/>
  <c r="F697" i="1"/>
  <c r="E697" i="1"/>
  <c r="D697" i="1"/>
  <c r="C697" i="1"/>
  <c r="B697" i="1"/>
  <c r="A697" i="1"/>
  <c r="J696" i="1"/>
  <c r="G696" i="1"/>
  <c r="F696" i="1"/>
  <c r="E696" i="1"/>
  <c r="D696" i="1"/>
  <c r="C696" i="1"/>
  <c r="B696" i="1"/>
  <c r="A696" i="1"/>
  <c r="J695" i="1"/>
  <c r="G695" i="1"/>
  <c r="F695" i="1"/>
  <c r="E695" i="1"/>
  <c r="D695" i="1"/>
  <c r="C695" i="1"/>
  <c r="B695" i="1"/>
  <c r="A695" i="1"/>
  <c r="J694" i="1"/>
  <c r="G694" i="1"/>
  <c r="F694" i="1"/>
  <c r="E694" i="1"/>
  <c r="D694" i="1"/>
  <c r="C694" i="1"/>
  <c r="B694" i="1"/>
  <c r="A694" i="1"/>
  <c r="J693" i="1"/>
  <c r="G693" i="1"/>
  <c r="F693" i="1"/>
  <c r="E693" i="1"/>
  <c r="D693" i="1"/>
  <c r="C693" i="1"/>
  <c r="B693" i="1"/>
  <c r="A693" i="1"/>
  <c r="J692" i="1"/>
  <c r="G692" i="1"/>
  <c r="F692" i="1"/>
  <c r="E692" i="1"/>
  <c r="D692" i="1"/>
  <c r="C692" i="1"/>
  <c r="B692" i="1"/>
  <c r="A692" i="1"/>
  <c r="J691" i="1"/>
  <c r="G691" i="1"/>
  <c r="F691" i="1"/>
  <c r="E691" i="1"/>
  <c r="D691" i="1"/>
  <c r="C691" i="1"/>
  <c r="B691" i="1"/>
  <c r="A691" i="1"/>
  <c r="J690" i="1"/>
  <c r="G690" i="1"/>
  <c r="F690" i="1"/>
  <c r="E690" i="1"/>
  <c r="D690" i="1"/>
  <c r="C690" i="1"/>
  <c r="B690" i="1"/>
  <c r="A690" i="1"/>
  <c r="J689" i="1"/>
  <c r="G689" i="1"/>
  <c r="F689" i="1"/>
  <c r="E689" i="1"/>
  <c r="D689" i="1"/>
  <c r="C689" i="1"/>
  <c r="B689" i="1"/>
  <c r="A689" i="1"/>
  <c r="J688" i="1"/>
  <c r="G688" i="1"/>
  <c r="F688" i="1"/>
  <c r="E688" i="1"/>
  <c r="D688" i="1"/>
  <c r="C688" i="1"/>
  <c r="B688" i="1"/>
  <c r="A688" i="1"/>
  <c r="J687" i="1"/>
  <c r="G687" i="1"/>
  <c r="F687" i="1"/>
  <c r="E687" i="1"/>
  <c r="D687" i="1"/>
  <c r="C687" i="1"/>
  <c r="B687" i="1"/>
  <c r="A687" i="1"/>
  <c r="J686" i="1"/>
  <c r="G686" i="1"/>
  <c r="F686" i="1"/>
  <c r="E686" i="1"/>
  <c r="D686" i="1"/>
  <c r="C686" i="1"/>
  <c r="B686" i="1"/>
  <c r="A686" i="1"/>
  <c r="J685" i="1"/>
  <c r="G685" i="1"/>
  <c r="F685" i="1"/>
  <c r="E685" i="1"/>
  <c r="D685" i="1"/>
  <c r="C685" i="1"/>
  <c r="B685" i="1"/>
  <c r="A685" i="1"/>
  <c r="J684" i="1"/>
  <c r="G684" i="1"/>
  <c r="F684" i="1"/>
  <c r="E684" i="1"/>
  <c r="D684" i="1"/>
  <c r="C684" i="1"/>
  <c r="B684" i="1"/>
  <c r="A684" i="1"/>
  <c r="J683" i="1"/>
  <c r="G683" i="1"/>
  <c r="F683" i="1"/>
  <c r="E683" i="1"/>
  <c r="D683" i="1"/>
  <c r="C683" i="1"/>
  <c r="B683" i="1"/>
  <c r="A683" i="1"/>
  <c r="J682" i="1"/>
  <c r="G682" i="1"/>
  <c r="F682" i="1"/>
  <c r="E682" i="1"/>
  <c r="D682" i="1"/>
  <c r="C682" i="1"/>
  <c r="B682" i="1"/>
  <c r="A682" i="1"/>
  <c r="J681" i="1"/>
  <c r="G681" i="1"/>
  <c r="F681" i="1"/>
  <c r="E681" i="1"/>
  <c r="D681" i="1"/>
  <c r="C681" i="1"/>
  <c r="B681" i="1"/>
  <c r="A681" i="1"/>
  <c r="J680" i="1"/>
  <c r="G680" i="1"/>
  <c r="F680" i="1"/>
  <c r="E680" i="1"/>
  <c r="D680" i="1"/>
  <c r="C680" i="1"/>
  <c r="B680" i="1"/>
  <c r="A680" i="1"/>
  <c r="J679" i="1"/>
  <c r="G679" i="1"/>
  <c r="F679" i="1"/>
  <c r="E679" i="1"/>
  <c r="D679" i="1"/>
  <c r="C679" i="1"/>
  <c r="B679" i="1"/>
  <c r="A679" i="1"/>
  <c r="J678" i="1"/>
  <c r="G678" i="1"/>
  <c r="F678" i="1"/>
  <c r="E678" i="1"/>
  <c r="D678" i="1"/>
  <c r="C678" i="1"/>
  <c r="B678" i="1"/>
  <c r="A678" i="1"/>
  <c r="J677" i="1"/>
  <c r="G677" i="1"/>
  <c r="F677" i="1"/>
  <c r="E677" i="1"/>
  <c r="D677" i="1"/>
  <c r="C677" i="1"/>
  <c r="B677" i="1"/>
  <c r="A677" i="1"/>
  <c r="J676" i="1"/>
  <c r="G676" i="1"/>
  <c r="F676" i="1"/>
  <c r="E676" i="1"/>
  <c r="D676" i="1"/>
  <c r="C676" i="1"/>
  <c r="B676" i="1"/>
  <c r="A676" i="1"/>
  <c r="J675" i="1"/>
  <c r="G675" i="1"/>
  <c r="F675" i="1"/>
  <c r="E675" i="1"/>
  <c r="D675" i="1"/>
  <c r="C675" i="1"/>
  <c r="B675" i="1"/>
  <c r="A675" i="1"/>
  <c r="J674" i="1"/>
  <c r="G674" i="1"/>
  <c r="F674" i="1"/>
  <c r="E674" i="1"/>
  <c r="D674" i="1"/>
  <c r="C674" i="1"/>
  <c r="B674" i="1"/>
  <c r="A674" i="1"/>
  <c r="J673" i="1"/>
  <c r="G673" i="1"/>
  <c r="F673" i="1"/>
  <c r="E673" i="1"/>
  <c r="D673" i="1"/>
  <c r="C673" i="1"/>
  <c r="B673" i="1"/>
  <c r="A673" i="1"/>
  <c r="J672" i="1"/>
  <c r="G672" i="1"/>
  <c r="F672" i="1"/>
  <c r="E672" i="1"/>
  <c r="D672" i="1"/>
  <c r="C672" i="1"/>
  <c r="B672" i="1"/>
  <c r="A672" i="1"/>
  <c r="J671" i="1"/>
  <c r="G671" i="1"/>
  <c r="F671" i="1"/>
  <c r="E671" i="1"/>
  <c r="D671" i="1"/>
  <c r="C671" i="1"/>
  <c r="B671" i="1"/>
  <c r="A671" i="1"/>
  <c r="J670" i="1"/>
  <c r="G670" i="1"/>
  <c r="F670" i="1"/>
  <c r="E670" i="1"/>
  <c r="D670" i="1"/>
  <c r="C670" i="1"/>
  <c r="B670" i="1"/>
  <c r="A670" i="1"/>
  <c r="J669" i="1"/>
  <c r="G669" i="1"/>
  <c r="F669" i="1"/>
  <c r="E669" i="1"/>
  <c r="D669" i="1"/>
  <c r="C669" i="1"/>
  <c r="B669" i="1"/>
  <c r="A669" i="1"/>
  <c r="J668" i="1"/>
  <c r="G668" i="1"/>
  <c r="F668" i="1"/>
  <c r="E668" i="1"/>
  <c r="D668" i="1"/>
  <c r="C668" i="1"/>
  <c r="B668" i="1"/>
  <c r="A668" i="1"/>
  <c r="J667" i="1"/>
  <c r="G667" i="1"/>
  <c r="F667" i="1"/>
  <c r="E667" i="1"/>
  <c r="D667" i="1"/>
  <c r="C667" i="1"/>
  <c r="B667" i="1"/>
  <c r="A667" i="1"/>
  <c r="J666" i="1"/>
  <c r="G666" i="1"/>
  <c r="F666" i="1"/>
  <c r="E666" i="1"/>
  <c r="D666" i="1"/>
  <c r="C666" i="1"/>
  <c r="B666" i="1"/>
  <c r="A666" i="1"/>
  <c r="J665" i="1"/>
  <c r="G665" i="1"/>
  <c r="F665" i="1"/>
  <c r="E665" i="1"/>
  <c r="D665" i="1"/>
  <c r="C665" i="1"/>
  <c r="B665" i="1"/>
  <c r="A665" i="1"/>
  <c r="J664" i="1"/>
  <c r="G664" i="1"/>
  <c r="F664" i="1"/>
  <c r="E664" i="1"/>
  <c r="D664" i="1"/>
  <c r="C664" i="1"/>
  <c r="B664" i="1"/>
  <c r="A664" i="1"/>
  <c r="J663" i="1"/>
  <c r="G663" i="1"/>
  <c r="F663" i="1"/>
  <c r="E663" i="1"/>
  <c r="D663" i="1"/>
  <c r="C663" i="1"/>
  <c r="B663" i="1"/>
  <c r="A663" i="1"/>
  <c r="J662" i="1"/>
  <c r="G662" i="1"/>
  <c r="F662" i="1"/>
  <c r="E662" i="1"/>
  <c r="D662" i="1"/>
  <c r="C662" i="1"/>
  <c r="B662" i="1"/>
  <c r="A662" i="1"/>
  <c r="J661" i="1"/>
  <c r="G661" i="1"/>
  <c r="F661" i="1"/>
  <c r="E661" i="1"/>
  <c r="D661" i="1"/>
  <c r="C661" i="1"/>
  <c r="B661" i="1"/>
  <c r="A661" i="1"/>
  <c r="J660" i="1"/>
  <c r="G660" i="1"/>
  <c r="F660" i="1"/>
  <c r="E660" i="1"/>
  <c r="D660" i="1"/>
  <c r="C660" i="1"/>
  <c r="B660" i="1"/>
  <c r="A660" i="1"/>
  <c r="J659" i="1"/>
  <c r="G659" i="1"/>
  <c r="F659" i="1"/>
  <c r="E659" i="1"/>
  <c r="D659" i="1"/>
  <c r="C659" i="1"/>
  <c r="B659" i="1"/>
  <c r="A659" i="1"/>
  <c r="J658" i="1"/>
  <c r="G658" i="1"/>
  <c r="F658" i="1"/>
  <c r="E658" i="1"/>
  <c r="D658" i="1"/>
  <c r="C658" i="1"/>
  <c r="B658" i="1"/>
  <c r="A658" i="1"/>
  <c r="J657" i="1"/>
  <c r="G657" i="1"/>
  <c r="F657" i="1"/>
  <c r="E657" i="1"/>
  <c r="D657" i="1"/>
  <c r="C657" i="1"/>
  <c r="B657" i="1"/>
  <c r="A657" i="1"/>
  <c r="J656" i="1"/>
  <c r="G656" i="1"/>
  <c r="F656" i="1"/>
  <c r="E656" i="1"/>
  <c r="D656" i="1"/>
  <c r="C656" i="1"/>
  <c r="B656" i="1"/>
  <c r="A656" i="1"/>
  <c r="J655" i="1"/>
  <c r="G655" i="1"/>
  <c r="F655" i="1"/>
  <c r="E655" i="1"/>
  <c r="D655" i="1"/>
  <c r="C655" i="1"/>
  <c r="B655" i="1"/>
  <c r="A655" i="1"/>
  <c r="J654" i="1"/>
  <c r="G654" i="1"/>
  <c r="F654" i="1"/>
  <c r="E654" i="1"/>
  <c r="D654" i="1"/>
  <c r="C654" i="1"/>
  <c r="B654" i="1"/>
  <c r="A654" i="1"/>
  <c r="J653" i="1"/>
  <c r="G653" i="1"/>
  <c r="F653" i="1"/>
  <c r="E653" i="1"/>
  <c r="D653" i="1"/>
  <c r="C653" i="1"/>
  <c r="B653" i="1"/>
  <c r="A653" i="1"/>
  <c r="J652" i="1"/>
  <c r="G652" i="1"/>
  <c r="F652" i="1"/>
  <c r="E652" i="1"/>
  <c r="D652" i="1"/>
  <c r="C652" i="1"/>
  <c r="B652" i="1"/>
  <c r="A652" i="1"/>
  <c r="J651" i="1"/>
  <c r="G651" i="1"/>
  <c r="F651" i="1"/>
  <c r="E651" i="1"/>
  <c r="D651" i="1"/>
  <c r="C651" i="1"/>
  <c r="B651" i="1"/>
  <c r="A651" i="1"/>
  <c r="J650" i="1"/>
  <c r="G650" i="1"/>
  <c r="F650" i="1"/>
  <c r="E650" i="1"/>
  <c r="D650" i="1"/>
  <c r="C650" i="1"/>
  <c r="B650" i="1"/>
  <c r="A650" i="1"/>
  <c r="J649" i="1"/>
  <c r="G649" i="1"/>
  <c r="F649" i="1"/>
  <c r="E649" i="1"/>
  <c r="D649" i="1"/>
  <c r="C649" i="1"/>
  <c r="B649" i="1"/>
  <c r="A649" i="1"/>
  <c r="J648" i="1"/>
  <c r="G648" i="1"/>
  <c r="F648" i="1"/>
  <c r="E648" i="1"/>
  <c r="D648" i="1"/>
  <c r="C648" i="1"/>
  <c r="B648" i="1"/>
  <c r="A648" i="1"/>
  <c r="J647" i="1"/>
  <c r="G647" i="1"/>
  <c r="F647" i="1"/>
  <c r="E647" i="1"/>
  <c r="D647" i="1"/>
  <c r="C647" i="1"/>
  <c r="B647" i="1"/>
  <c r="A647" i="1"/>
  <c r="J646" i="1"/>
  <c r="G646" i="1"/>
  <c r="F646" i="1"/>
  <c r="E646" i="1"/>
  <c r="D646" i="1"/>
  <c r="C646" i="1"/>
  <c r="B646" i="1"/>
  <c r="A646" i="1"/>
  <c r="J645" i="1"/>
  <c r="G645" i="1"/>
  <c r="F645" i="1"/>
  <c r="E645" i="1"/>
  <c r="D645" i="1"/>
  <c r="C645" i="1"/>
  <c r="B645" i="1"/>
  <c r="A645" i="1"/>
  <c r="J644" i="1"/>
  <c r="G644" i="1"/>
  <c r="F644" i="1"/>
  <c r="E644" i="1"/>
  <c r="D644" i="1"/>
  <c r="C644" i="1"/>
  <c r="B644" i="1"/>
  <c r="A644" i="1"/>
  <c r="J643" i="1"/>
  <c r="G643" i="1"/>
  <c r="F643" i="1"/>
  <c r="E643" i="1"/>
  <c r="D643" i="1"/>
  <c r="C643" i="1"/>
  <c r="B643" i="1"/>
  <c r="A643" i="1"/>
  <c r="J642" i="1"/>
  <c r="G642" i="1"/>
  <c r="F642" i="1"/>
  <c r="E642" i="1"/>
  <c r="D642" i="1"/>
  <c r="C642" i="1"/>
  <c r="B642" i="1"/>
  <c r="A642" i="1"/>
  <c r="J641" i="1"/>
  <c r="G641" i="1"/>
  <c r="F641" i="1"/>
  <c r="E641" i="1"/>
  <c r="D641" i="1"/>
  <c r="C641" i="1"/>
  <c r="B641" i="1"/>
  <c r="A641" i="1"/>
  <c r="J640" i="1"/>
  <c r="G640" i="1"/>
  <c r="F640" i="1"/>
  <c r="E640" i="1"/>
  <c r="D640" i="1"/>
  <c r="C640" i="1"/>
  <c r="B640" i="1"/>
  <c r="A640" i="1"/>
  <c r="J639" i="1"/>
  <c r="G639" i="1"/>
  <c r="F639" i="1"/>
  <c r="E639" i="1"/>
  <c r="D639" i="1"/>
  <c r="C639" i="1"/>
  <c r="B639" i="1"/>
  <c r="A639" i="1"/>
  <c r="J638" i="1"/>
  <c r="G638" i="1"/>
  <c r="F638" i="1"/>
  <c r="E638" i="1"/>
  <c r="D638" i="1"/>
  <c r="C638" i="1"/>
  <c r="B638" i="1"/>
  <c r="A638" i="1"/>
  <c r="J637" i="1"/>
  <c r="G637" i="1"/>
  <c r="F637" i="1"/>
  <c r="E637" i="1"/>
  <c r="D637" i="1"/>
  <c r="C637" i="1"/>
  <c r="B637" i="1"/>
  <c r="A637" i="1"/>
  <c r="J636" i="1"/>
  <c r="G636" i="1"/>
  <c r="F636" i="1"/>
  <c r="E636" i="1"/>
  <c r="D636" i="1"/>
  <c r="C636" i="1"/>
  <c r="B636" i="1"/>
  <c r="A636" i="1"/>
  <c r="J635" i="1"/>
  <c r="G635" i="1"/>
  <c r="F635" i="1"/>
  <c r="E635" i="1"/>
  <c r="D635" i="1"/>
  <c r="C635" i="1"/>
  <c r="B635" i="1"/>
  <c r="A635" i="1"/>
  <c r="J634" i="1"/>
  <c r="G634" i="1"/>
  <c r="F634" i="1"/>
  <c r="E634" i="1"/>
  <c r="D634" i="1"/>
  <c r="C634" i="1"/>
  <c r="B634" i="1"/>
  <c r="A634" i="1"/>
  <c r="J633" i="1"/>
  <c r="G633" i="1"/>
  <c r="F633" i="1"/>
  <c r="E633" i="1"/>
  <c r="D633" i="1"/>
  <c r="C633" i="1"/>
  <c r="B633" i="1"/>
  <c r="A633" i="1"/>
  <c r="J632" i="1"/>
  <c r="G632" i="1"/>
  <c r="F632" i="1"/>
  <c r="E632" i="1"/>
  <c r="D632" i="1"/>
  <c r="C632" i="1"/>
  <c r="B632" i="1"/>
  <c r="A632" i="1"/>
  <c r="J631" i="1"/>
  <c r="G631" i="1"/>
  <c r="F631" i="1"/>
  <c r="E631" i="1"/>
  <c r="D631" i="1"/>
  <c r="C631" i="1"/>
  <c r="B631" i="1"/>
  <c r="A631" i="1"/>
  <c r="J630" i="1"/>
  <c r="G630" i="1"/>
  <c r="F630" i="1"/>
  <c r="E630" i="1"/>
  <c r="D630" i="1"/>
  <c r="C630" i="1"/>
  <c r="B630" i="1"/>
  <c r="A630" i="1"/>
  <c r="J629" i="1"/>
  <c r="G629" i="1"/>
  <c r="F629" i="1"/>
  <c r="E629" i="1"/>
  <c r="D629" i="1"/>
  <c r="C629" i="1"/>
  <c r="B629" i="1"/>
  <c r="A629" i="1"/>
  <c r="J628" i="1"/>
  <c r="G628" i="1"/>
  <c r="F628" i="1"/>
  <c r="E628" i="1"/>
  <c r="D628" i="1"/>
  <c r="C628" i="1"/>
  <c r="B628" i="1"/>
  <c r="A628" i="1"/>
  <c r="J627" i="1"/>
  <c r="G627" i="1"/>
  <c r="F627" i="1"/>
  <c r="E627" i="1"/>
  <c r="D627" i="1"/>
  <c r="C627" i="1"/>
  <c r="B627" i="1"/>
  <c r="A627" i="1"/>
  <c r="J626" i="1"/>
  <c r="G626" i="1"/>
  <c r="F626" i="1"/>
  <c r="E626" i="1"/>
  <c r="D626" i="1"/>
  <c r="C626" i="1"/>
  <c r="B626" i="1"/>
  <c r="A626" i="1"/>
  <c r="J625" i="1"/>
  <c r="G625" i="1"/>
  <c r="F625" i="1"/>
  <c r="E625" i="1"/>
  <c r="D625" i="1"/>
  <c r="C625" i="1"/>
  <c r="B625" i="1"/>
  <c r="A625" i="1"/>
  <c r="J624" i="1"/>
  <c r="G624" i="1"/>
  <c r="F624" i="1"/>
  <c r="E624" i="1"/>
  <c r="D624" i="1"/>
  <c r="C624" i="1"/>
  <c r="B624" i="1"/>
  <c r="A624" i="1"/>
  <c r="J623" i="1"/>
  <c r="G623" i="1"/>
  <c r="F623" i="1"/>
  <c r="E623" i="1"/>
  <c r="D623" i="1"/>
  <c r="C623" i="1"/>
  <c r="B623" i="1"/>
  <c r="A623" i="1"/>
  <c r="J622" i="1"/>
  <c r="G622" i="1"/>
  <c r="F622" i="1"/>
  <c r="E622" i="1"/>
  <c r="D622" i="1"/>
  <c r="C622" i="1"/>
  <c r="B622" i="1"/>
  <c r="A622" i="1"/>
  <c r="J621" i="1"/>
  <c r="G621" i="1"/>
  <c r="F621" i="1"/>
  <c r="E621" i="1"/>
  <c r="D621" i="1"/>
  <c r="C621" i="1"/>
  <c r="B621" i="1"/>
  <c r="A621" i="1"/>
  <c r="J620" i="1"/>
  <c r="G620" i="1"/>
  <c r="F620" i="1"/>
  <c r="E620" i="1"/>
  <c r="D620" i="1"/>
  <c r="C620" i="1"/>
  <c r="B620" i="1"/>
  <c r="A620" i="1"/>
  <c r="J619" i="1"/>
  <c r="G619" i="1"/>
  <c r="F619" i="1"/>
  <c r="E619" i="1"/>
  <c r="D619" i="1"/>
  <c r="C619" i="1"/>
  <c r="B619" i="1"/>
  <c r="A619" i="1"/>
  <c r="J618" i="1"/>
  <c r="G618" i="1"/>
  <c r="F618" i="1"/>
  <c r="E618" i="1"/>
  <c r="D618" i="1"/>
  <c r="C618" i="1"/>
  <c r="B618" i="1"/>
  <c r="A618" i="1"/>
  <c r="J617" i="1"/>
  <c r="G617" i="1"/>
  <c r="F617" i="1"/>
  <c r="E617" i="1"/>
  <c r="D617" i="1"/>
  <c r="C617" i="1"/>
  <c r="B617" i="1"/>
  <c r="A617" i="1"/>
  <c r="J616" i="1"/>
  <c r="G616" i="1"/>
  <c r="F616" i="1"/>
  <c r="E616" i="1"/>
  <c r="D616" i="1"/>
  <c r="C616" i="1"/>
  <c r="B616" i="1"/>
  <c r="A616" i="1"/>
  <c r="J615" i="1"/>
  <c r="G615" i="1"/>
  <c r="F615" i="1"/>
  <c r="E615" i="1"/>
  <c r="D615" i="1"/>
  <c r="C615" i="1"/>
  <c r="B615" i="1"/>
  <c r="A615" i="1"/>
  <c r="J614" i="1"/>
  <c r="G614" i="1"/>
  <c r="F614" i="1"/>
  <c r="E614" i="1"/>
  <c r="D614" i="1"/>
  <c r="C614" i="1"/>
  <c r="B614" i="1"/>
  <c r="A614" i="1"/>
  <c r="J613" i="1"/>
  <c r="G613" i="1"/>
  <c r="F613" i="1"/>
  <c r="E613" i="1"/>
  <c r="D613" i="1"/>
  <c r="C613" i="1"/>
  <c r="B613" i="1"/>
  <c r="A613" i="1"/>
  <c r="J612" i="1"/>
  <c r="G612" i="1"/>
  <c r="F612" i="1"/>
  <c r="E612" i="1"/>
  <c r="D612" i="1"/>
  <c r="C612" i="1"/>
  <c r="B612" i="1"/>
  <c r="A612" i="1"/>
  <c r="J611" i="1"/>
  <c r="G611" i="1"/>
  <c r="F611" i="1"/>
  <c r="E611" i="1"/>
  <c r="D611" i="1"/>
  <c r="C611" i="1"/>
  <c r="B611" i="1"/>
  <c r="A611" i="1"/>
  <c r="J610" i="1"/>
  <c r="G610" i="1"/>
  <c r="F610" i="1"/>
  <c r="E610" i="1"/>
  <c r="D610" i="1"/>
  <c r="C610" i="1"/>
  <c r="B610" i="1"/>
  <c r="A610" i="1"/>
  <c r="J609" i="1"/>
  <c r="G609" i="1"/>
  <c r="F609" i="1"/>
  <c r="E609" i="1"/>
  <c r="D609" i="1"/>
  <c r="C609" i="1"/>
  <c r="B609" i="1"/>
  <c r="A609" i="1"/>
  <c r="J608" i="1"/>
  <c r="G608" i="1"/>
  <c r="F608" i="1"/>
  <c r="E608" i="1"/>
  <c r="D608" i="1"/>
  <c r="C608" i="1"/>
  <c r="B608" i="1"/>
  <c r="A608" i="1"/>
  <c r="J607" i="1"/>
  <c r="G607" i="1"/>
  <c r="F607" i="1"/>
  <c r="E607" i="1"/>
  <c r="D607" i="1"/>
  <c r="C607" i="1"/>
  <c r="B607" i="1"/>
  <c r="A607" i="1"/>
  <c r="J606" i="1"/>
  <c r="G606" i="1"/>
  <c r="F606" i="1"/>
  <c r="E606" i="1"/>
  <c r="D606" i="1"/>
  <c r="C606" i="1"/>
  <c r="B606" i="1"/>
  <c r="A606" i="1"/>
  <c r="J605" i="1"/>
  <c r="G605" i="1"/>
  <c r="F605" i="1"/>
  <c r="E605" i="1"/>
  <c r="D605" i="1"/>
  <c r="C605" i="1"/>
  <c r="B605" i="1"/>
  <c r="A605" i="1"/>
  <c r="J604" i="1"/>
  <c r="G604" i="1"/>
  <c r="F604" i="1"/>
  <c r="E604" i="1"/>
  <c r="D604" i="1"/>
  <c r="C604" i="1"/>
  <c r="B604" i="1"/>
  <c r="A604" i="1"/>
  <c r="J603" i="1"/>
  <c r="G603" i="1"/>
  <c r="F603" i="1"/>
  <c r="E603" i="1"/>
  <c r="D603" i="1"/>
  <c r="C603" i="1"/>
  <c r="B603" i="1"/>
  <c r="A603" i="1"/>
  <c r="J602" i="1"/>
  <c r="G602" i="1"/>
  <c r="F602" i="1"/>
  <c r="E602" i="1"/>
  <c r="D602" i="1"/>
  <c r="C602" i="1"/>
  <c r="B602" i="1"/>
  <c r="A602" i="1"/>
  <c r="J601" i="1"/>
  <c r="G601" i="1"/>
  <c r="F601" i="1"/>
  <c r="E601" i="1"/>
  <c r="D601" i="1"/>
  <c r="C601" i="1"/>
  <c r="B601" i="1"/>
  <c r="A601" i="1"/>
  <c r="J600" i="1"/>
  <c r="G600" i="1"/>
  <c r="F600" i="1"/>
  <c r="E600" i="1"/>
  <c r="D600" i="1"/>
  <c r="C600" i="1"/>
  <c r="B600" i="1"/>
  <c r="A600" i="1"/>
  <c r="J599" i="1"/>
  <c r="G599" i="1"/>
  <c r="F599" i="1"/>
  <c r="E599" i="1"/>
  <c r="D599" i="1"/>
  <c r="C599" i="1"/>
  <c r="B599" i="1"/>
  <c r="A599" i="1"/>
  <c r="J598" i="1"/>
  <c r="G598" i="1"/>
  <c r="F598" i="1"/>
  <c r="E598" i="1"/>
  <c r="D598" i="1"/>
  <c r="C598" i="1"/>
  <c r="B598" i="1"/>
  <c r="A598" i="1"/>
  <c r="J597" i="1"/>
  <c r="G597" i="1"/>
  <c r="F597" i="1"/>
  <c r="E597" i="1"/>
  <c r="D597" i="1"/>
  <c r="C597" i="1"/>
  <c r="B597" i="1"/>
  <c r="A597" i="1"/>
  <c r="J596" i="1"/>
  <c r="G596" i="1"/>
  <c r="F596" i="1"/>
  <c r="E596" i="1"/>
  <c r="D596" i="1"/>
  <c r="C596" i="1"/>
  <c r="B596" i="1"/>
  <c r="A596" i="1"/>
  <c r="J595" i="1"/>
  <c r="G595" i="1"/>
  <c r="F595" i="1"/>
  <c r="E595" i="1"/>
  <c r="D595" i="1"/>
  <c r="C595" i="1"/>
  <c r="B595" i="1"/>
  <c r="A595" i="1"/>
  <c r="J594" i="1"/>
  <c r="G594" i="1"/>
  <c r="F594" i="1"/>
  <c r="E594" i="1"/>
  <c r="D594" i="1"/>
  <c r="C594" i="1"/>
  <c r="B594" i="1"/>
  <c r="A594" i="1"/>
  <c r="J593" i="1"/>
  <c r="G593" i="1"/>
  <c r="F593" i="1"/>
  <c r="E593" i="1"/>
  <c r="D593" i="1"/>
  <c r="C593" i="1"/>
  <c r="B593" i="1"/>
  <c r="A593" i="1"/>
  <c r="J592" i="1"/>
  <c r="G592" i="1"/>
  <c r="F592" i="1"/>
  <c r="E592" i="1"/>
  <c r="D592" i="1"/>
  <c r="C592" i="1"/>
  <c r="B592" i="1"/>
  <c r="A592" i="1"/>
  <c r="J591" i="1"/>
  <c r="G591" i="1"/>
  <c r="F591" i="1"/>
  <c r="E591" i="1"/>
  <c r="D591" i="1"/>
  <c r="C591" i="1"/>
  <c r="B591" i="1"/>
  <c r="A591" i="1"/>
  <c r="J590" i="1"/>
  <c r="G590" i="1"/>
  <c r="F590" i="1"/>
  <c r="E590" i="1"/>
  <c r="D590" i="1"/>
  <c r="C590" i="1"/>
  <c r="B590" i="1"/>
  <c r="A590" i="1"/>
  <c r="J589" i="1"/>
  <c r="G589" i="1"/>
  <c r="F589" i="1"/>
  <c r="E589" i="1"/>
  <c r="D589" i="1"/>
  <c r="C589" i="1"/>
  <c r="B589" i="1"/>
  <c r="A589" i="1"/>
  <c r="J588" i="1"/>
  <c r="G588" i="1"/>
  <c r="F588" i="1"/>
  <c r="E588" i="1"/>
  <c r="D588" i="1"/>
  <c r="C588" i="1"/>
  <c r="B588" i="1"/>
  <c r="A588" i="1"/>
  <c r="J587" i="1"/>
  <c r="G587" i="1"/>
  <c r="F587" i="1"/>
  <c r="E587" i="1"/>
  <c r="D587" i="1"/>
  <c r="C587" i="1"/>
  <c r="B587" i="1"/>
  <c r="A587" i="1"/>
  <c r="J586" i="1"/>
  <c r="G586" i="1"/>
  <c r="F586" i="1"/>
  <c r="E586" i="1"/>
  <c r="D586" i="1"/>
  <c r="C586" i="1"/>
  <c r="B586" i="1"/>
  <c r="A586" i="1"/>
  <c r="J585" i="1"/>
  <c r="G585" i="1"/>
  <c r="F585" i="1"/>
  <c r="E585" i="1"/>
  <c r="D585" i="1"/>
  <c r="C585" i="1"/>
  <c r="B585" i="1"/>
  <c r="A585" i="1"/>
  <c r="J584" i="1"/>
  <c r="G584" i="1"/>
  <c r="F584" i="1"/>
  <c r="E584" i="1"/>
  <c r="D584" i="1"/>
  <c r="C584" i="1"/>
  <c r="B584" i="1"/>
  <c r="A584" i="1"/>
  <c r="J583" i="1"/>
  <c r="G583" i="1"/>
  <c r="F583" i="1"/>
  <c r="E583" i="1"/>
  <c r="D583" i="1"/>
  <c r="C583" i="1"/>
  <c r="B583" i="1"/>
  <c r="A583" i="1"/>
  <c r="J582" i="1"/>
  <c r="G582" i="1"/>
  <c r="F582" i="1"/>
  <c r="E582" i="1"/>
  <c r="D582" i="1"/>
  <c r="C582" i="1"/>
  <c r="B582" i="1"/>
  <c r="A582" i="1"/>
  <c r="J581" i="1"/>
  <c r="G581" i="1"/>
  <c r="F581" i="1"/>
  <c r="E581" i="1"/>
  <c r="D581" i="1"/>
  <c r="C581" i="1"/>
  <c r="B581" i="1"/>
  <c r="A581" i="1"/>
  <c r="J580" i="1"/>
  <c r="G580" i="1"/>
  <c r="F580" i="1"/>
  <c r="E580" i="1"/>
  <c r="D580" i="1"/>
  <c r="C580" i="1"/>
  <c r="B580" i="1"/>
  <c r="A580" i="1"/>
  <c r="J579" i="1"/>
  <c r="G579" i="1"/>
  <c r="F579" i="1"/>
  <c r="E579" i="1"/>
  <c r="D579" i="1"/>
  <c r="C579" i="1"/>
  <c r="B579" i="1"/>
  <c r="A579" i="1"/>
  <c r="J578" i="1"/>
  <c r="G578" i="1"/>
  <c r="F578" i="1"/>
  <c r="E578" i="1"/>
  <c r="D578" i="1"/>
  <c r="C578" i="1"/>
  <c r="B578" i="1"/>
  <c r="A578" i="1"/>
  <c r="J577" i="1"/>
  <c r="G577" i="1"/>
  <c r="F577" i="1"/>
  <c r="E577" i="1"/>
  <c r="D577" i="1"/>
  <c r="C577" i="1"/>
  <c r="B577" i="1"/>
  <c r="A577" i="1"/>
  <c r="J576" i="1"/>
  <c r="G576" i="1"/>
  <c r="F576" i="1"/>
  <c r="E576" i="1"/>
  <c r="D576" i="1"/>
  <c r="C576" i="1"/>
  <c r="B576" i="1"/>
  <c r="A576" i="1"/>
  <c r="J575" i="1"/>
  <c r="G575" i="1"/>
  <c r="F575" i="1"/>
  <c r="E575" i="1"/>
  <c r="D575" i="1"/>
  <c r="C575" i="1"/>
  <c r="B575" i="1"/>
  <c r="A575" i="1"/>
  <c r="J574" i="1"/>
  <c r="G574" i="1"/>
  <c r="F574" i="1"/>
  <c r="E574" i="1"/>
  <c r="D574" i="1"/>
  <c r="C574" i="1"/>
  <c r="B574" i="1"/>
  <c r="A574" i="1"/>
  <c r="J573" i="1"/>
  <c r="G573" i="1"/>
  <c r="F573" i="1"/>
  <c r="E573" i="1"/>
  <c r="D573" i="1"/>
  <c r="C573" i="1"/>
  <c r="B573" i="1"/>
  <c r="A573" i="1"/>
  <c r="J572" i="1"/>
  <c r="G572" i="1"/>
  <c r="F572" i="1"/>
  <c r="E572" i="1"/>
  <c r="D572" i="1"/>
  <c r="C572" i="1"/>
  <c r="B572" i="1"/>
  <c r="A572" i="1"/>
  <c r="J571" i="1"/>
  <c r="G571" i="1"/>
  <c r="F571" i="1"/>
  <c r="E571" i="1"/>
  <c r="D571" i="1"/>
  <c r="C571" i="1"/>
  <c r="B571" i="1"/>
  <c r="A571" i="1"/>
  <c r="J570" i="1"/>
  <c r="G570" i="1"/>
  <c r="F570" i="1"/>
  <c r="E570" i="1"/>
  <c r="D570" i="1"/>
  <c r="C570" i="1"/>
  <c r="B570" i="1"/>
  <c r="A570" i="1"/>
  <c r="J569" i="1"/>
  <c r="G569" i="1"/>
  <c r="F569" i="1"/>
  <c r="E569" i="1"/>
  <c r="D569" i="1"/>
  <c r="C569" i="1"/>
  <c r="B569" i="1"/>
  <c r="A569" i="1"/>
  <c r="J568" i="1"/>
  <c r="G568" i="1"/>
  <c r="F568" i="1"/>
  <c r="E568" i="1"/>
  <c r="D568" i="1"/>
  <c r="C568" i="1"/>
  <c r="B568" i="1"/>
  <c r="A568" i="1"/>
  <c r="J567" i="1"/>
  <c r="G567" i="1"/>
  <c r="F567" i="1"/>
  <c r="E567" i="1"/>
  <c r="D567" i="1"/>
  <c r="C567" i="1"/>
  <c r="B567" i="1"/>
  <c r="A567" i="1"/>
  <c r="J566" i="1"/>
  <c r="G566" i="1"/>
  <c r="F566" i="1"/>
  <c r="E566" i="1"/>
  <c r="D566" i="1"/>
  <c r="C566" i="1"/>
  <c r="B566" i="1"/>
  <c r="A566" i="1"/>
  <c r="J565" i="1"/>
  <c r="G565" i="1"/>
  <c r="F565" i="1"/>
  <c r="E565" i="1"/>
  <c r="D565" i="1"/>
  <c r="C565" i="1"/>
  <c r="B565" i="1"/>
  <c r="A565" i="1"/>
  <c r="J564" i="1"/>
  <c r="G564" i="1"/>
  <c r="F564" i="1"/>
  <c r="E564" i="1"/>
  <c r="D564" i="1"/>
  <c r="C564" i="1"/>
  <c r="B564" i="1"/>
  <c r="A564" i="1"/>
  <c r="J563" i="1"/>
  <c r="G563" i="1"/>
  <c r="F563" i="1"/>
  <c r="E563" i="1"/>
  <c r="D563" i="1"/>
  <c r="C563" i="1"/>
  <c r="B563" i="1"/>
  <c r="A563" i="1"/>
  <c r="J562" i="1"/>
  <c r="G562" i="1"/>
  <c r="F562" i="1"/>
  <c r="E562" i="1"/>
  <c r="D562" i="1"/>
  <c r="C562" i="1"/>
  <c r="B562" i="1"/>
  <c r="A562" i="1"/>
  <c r="J561" i="1"/>
  <c r="G561" i="1"/>
  <c r="F561" i="1"/>
  <c r="E561" i="1"/>
  <c r="D561" i="1"/>
  <c r="C561" i="1"/>
  <c r="B561" i="1"/>
  <c r="A561" i="1"/>
  <c r="J560" i="1"/>
  <c r="G560" i="1"/>
  <c r="F560" i="1"/>
  <c r="E560" i="1"/>
  <c r="D560" i="1"/>
  <c r="C560" i="1"/>
  <c r="B560" i="1"/>
  <c r="A560" i="1"/>
  <c r="J559" i="1"/>
  <c r="G559" i="1"/>
  <c r="F559" i="1"/>
  <c r="E559" i="1"/>
  <c r="D559" i="1"/>
  <c r="C559" i="1"/>
  <c r="B559" i="1"/>
  <c r="A559" i="1"/>
  <c r="J558" i="1"/>
  <c r="G558" i="1"/>
  <c r="F558" i="1"/>
  <c r="E558" i="1"/>
  <c r="D558" i="1"/>
  <c r="C558" i="1"/>
  <c r="B558" i="1"/>
  <c r="A558" i="1"/>
  <c r="J557" i="1"/>
  <c r="G557" i="1"/>
  <c r="F557" i="1"/>
  <c r="E557" i="1"/>
  <c r="D557" i="1"/>
  <c r="C557" i="1"/>
  <c r="B557" i="1"/>
  <c r="A557" i="1"/>
  <c r="J556" i="1"/>
  <c r="G556" i="1"/>
  <c r="F556" i="1"/>
  <c r="E556" i="1"/>
  <c r="D556" i="1"/>
  <c r="C556" i="1"/>
  <c r="B556" i="1"/>
  <c r="A556" i="1"/>
  <c r="J555" i="1"/>
  <c r="G555" i="1"/>
  <c r="F555" i="1"/>
  <c r="E555" i="1"/>
  <c r="D555" i="1"/>
  <c r="C555" i="1"/>
  <c r="B555" i="1"/>
  <c r="A555" i="1"/>
  <c r="J554" i="1"/>
  <c r="G554" i="1"/>
  <c r="F554" i="1"/>
  <c r="E554" i="1"/>
  <c r="D554" i="1"/>
  <c r="C554" i="1"/>
  <c r="B554" i="1"/>
  <c r="A554" i="1"/>
  <c r="J553" i="1"/>
  <c r="G553" i="1"/>
  <c r="F553" i="1"/>
  <c r="E553" i="1"/>
  <c r="D553" i="1"/>
  <c r="C553" i="1"/>
  <c r="B553" i="1"/>
  <c r="A553" i="1"/>
  <c r="J552" i="1"/>
  <c r="G552" i="1"/>
  <c r="F552" i="1"/>
  <c r="E552" i="1"/>
  <c r="D552" i="1"/>
  <c r="C552" i="1"/>
  <c r="B552" i="1"/>
  <c r="A552" i="1"/>
  <c r="J551" i="1"/>
  <c r="G551" i="1"/>
  <c r="F551" i="1"/>
  <c r="E551" i="1"/>
  <c r="D551" i="1"/>
  <c r="C551" i="1"/>
  <c r="B551" i="1"/>
  <c r="A551" i="1"/>
  <c r="J550" i="1"/>
  <c r="G550" i="1"/>
  <c r="F550" i="1"/>
  <c r="E550" i="1"/>
  <c r="D550" i="1"/>
  <c r="C550" i="1"/>
  <c r="B550" i="1"/>
  <c r="A550" i="1"/>
  <c r="J549" i="1"/>
  <c r="G549" i="1"/>
  <c r="F549" i="1"/>
  <c r="E549" i="1"/>
  <c r="D549" i="1"/>
  <c r="C549" i="1"/>
  <c r="B549" i="1"/>
  <c r="A549" i="1"/>
  <c r="J548" i="1"/>
  <c r="G548" i="1"/>
  <c r="F548" i="1"/>
  <c r="E548" i="1"/>
  <c r="D548" i="1"/>
  <c r="C548" i="1"/>
  <c r="B548" i="1"/>
  <c r="A548" i="1"/>
  <c r="J547" i="1"/>
  <c r="G547" i="1"/>
  <c r="F547" i="1"/>
  <c r="E547" i="1"/>
  <c r="D547" i="1"/>
  <c r="C547" i="1"/>
  <c r="B547" i="1"/>
  <c r="A547" i="1"/>
  <c r="J546" i="1"/>
  <c r="G546" i="1"/>
  <c r="F546" i="1"/>
  <c r="E546" i="1"/>
  <c r="D546" i="1"/>
  <c r="C546" i="1"/>
  <c r="B546" i="1"/>
  <c r="A546" i="1"/>
  <c r="J545" i="1"/>
  <c r="G545" i="1"/>
  <c r="F545" i="1"/>
  <c r="E545" i="1"/>
  <c r="D545" i="1"/>
  <c r="C545" i="1"/>
  <c r="B545" i="1"/>
  <c r="A545" i="1"/>
  <c r="J544" i="1"/>
  <c r="G544" i="1"/>
  <c r="F544" i="1"/>
  <c r="E544" i="1"/>
  <c r="D544" i="1"/>
  <c r="C544" i="1"/>
  <c r="B544" i="1"/>
  <c r="A544" i="1"/>
  <c r="J543" i="1"/>
  <c r="G543" i="1"/>
  <c r="F543" i="1"/>
  <c r="E543" i="1"/>
  <c r="D543" i="1"/>
  <c r="C543" i="1"/>
  <c r="B543" i="1"/>
  <c r="A543" i="1"/>
  <c r="J542" i="1"/>
  <c r="G542" i="1"/>
  <c r="F542" i="1"/>
  <c r="E542" i="1"/>
  <c r="D542" i="1"/>
  <c r="C542" i="1"/>
  <c r="B542" i="1"/>
  <c r="A542" i="1"/>
  <c r="J541" i="1"/>
  <c r="G541" i="1"/>
  <c r="F541" i="1"/>
  <c r="E541" i="1"/>
  <c r="D541" i="1"/>
  <c r="C541" i="1"/>
  <c r="B541" i="1"/>
  <c r="A541" i="1"/>
  <c r="J540" i="1"/>
  <c r="G540" i="1"/>
  <c r="F540" i="1"/>
  <c r="E540" i="1"/>
  <c r="D540" i="1"/>
  <c r="C540" i="1"/>
  <c r="B540" i="1"/>
  <c r="A540" i="1"/>
  <c r="J539" i="1"/>
  <c r="G539" i="1"/>
  <c r="F539" i="1"/>
  <c r="E539" i="1"/>
  <c r="D539" i="1"/>
  <c r="C539" i="1"/>
  <c r="B539" i="1"/>
  <c r="A539" i="1"/>
  <c r="J538" i="1"/>
  <c r="G538" i="1"/>
  <c r="F538" i="1"/>
  <c r="E538" i="1"/>
  <c r="D538" i="1"/>
  <c r="C538" i="1"/>
  <c r="B538" i="1"/>
  <c r="A538" i="1"/>
  <c r="J537" i="1"/>
  <c r="G537" i="1"/>
  <c r="F537" i="1"/>
  <c r="E537" i="1"/>
  <c r="D537" i="1"/>
  <c r="C537" i="1"/>
  <c r="B537" i="1"/>
  <c r="A537" i="1"/>
  <c r="J536" i="1"/>
  <c r="G536" i="1"/>
  <c r="F536" i="1"/>
  <c r="E536" i="1"/>
  <c r="D536" i="1"/>
  <c r="C536" i="1"/>
  <c r="B536" i="1"/>
  <c r="A536" i="1"/>
  <c r="J535" i="1"/>
  <c r="G535" i="1"/>
  <c r="F535" i="1"/>
  <c r="E535" i="1"/>
  <c r="D535" i="1"/>
  <c r="C535" i="1"/>
  <c r="B535" i="1"/>
  <c r="A535" i="1"/>
  <c r="J534" i="1"/>
  <c r="G534" i="1"/>
  <c r="F534" i="1"/>
  <c r="E534" i="1"/>
  <c r="D534" i="1"/>
  <c r="C534" i="1"/>
  <c r="B534" i="1"/>
  <c r="A534" i="1"/>
  <c r="J533" i="1"/>
  <c r="G533" i="1"/>
  <c r="F533" i="1"/>
  <c r="E533" i="1"/>
  <c r="D533" i="1"/>
  <c r="C533" i="1"/>
  <c r="B533" i="1"/>
  <c r="A533" i="1"/>
  <c r="J532" i="1"/>
  <c r="G532" i="1"/>
  <c r="F532" i="1"/>
  <c r="E532" i="1"/>
  <c r="D532" i="1"/>
  <c r="C532" i="1"/>
  <c r="B532" i="1"/>
  <c r="A532" i="1"/>
  <c r="J531" i="1"/>
  <c r="G531" i="1"/>
  <c r="F531" i="1"/>
  <c r="E531" i="1"/>
  <c r="D531" i="1"/>
  <c r="C531" i="1"/>
  <c r="B531" i="1"/>
  <c r="A531" i="1"/>
  <c r="J530" i="1"/>
  <c r="G530" i="1"/>
  <c r="F530" i="1"/>
  <c r="E530" i="1"/>
  <c r="D530" i="1"/>
  <c r="C530" i="1"/>
  <c r="B530" i="1"/>
  <c r="A530" i="1"/>
  <c r="J529" i="1"/>
  <c r="G529" i="1"/>
  <c r="F529" i="1"/>
  <c r="E529" i="1"/>
  <c r="D529" i="1"/>
  <c r="C529" i="1"/>
  <c r="B529" i="1"/>
  <c r="A529" i="1"/>
  <c r="J528" i="1"/>
  <c r="G528" i="1"/>
  <c r="F528" i="1"/>
  <c r="E528" i="1"/>
  <c r="D528" i="1"/>
  <c r="C528" i="1"/>
  <c r="B528" i="1"/>
  <c r="A528" i="1"/>
  <c r="J527" i="1"/>
  <c r="G527" i="1"/>
  <c r="F527" i="1"/>
  <c r="E527" i="1"/>
  <c r="D527" i="1"/>
  <c r="C527" i="1"/>
  <c r="B527" i="1"/>
  <c r="A527" i="1"/>
  <c r="J526" i="1"/>
  <c r="G526" i="1"/>
  <c r="F526" i="1"/>
  <c r="E526" i="1"/>
  <c r="D526" i="1"/>
  <c r="C526" i="1"/>
  <c r="B526" i="1"/>
  <c r="A526" i="1"/>
  <c r="J525" i="1"/>
  <c r="G525" i="1"/>
  <c r="F525" i="1"/>
  <c r="E525" i="1"/>
  <c r="D525" i="1"/>
  <c r="C525" i="1"/>
  <c r="B525" i="1"/>
  <c r="A525" i="1"/>
  <c r="J524" i="1"/>
  <c r="G524" i="1"/>
  <c r="F524" i="1"/>
  <c r="E524" i="1"/>
  <c r="D524" i="1"/>
  <c r="C524" i="1"/>
  <c r="B524" i="1"/>
  <c r="A524" i="1"/>
  <c r="J523" i="1"/>
  <c r="G523" i="1"/>
  <c r="F523" i="1"/>
  <c r="E523" i="1"/>
  <c r="D523" i="1"/>
  <c r="C523" i="1"/>
  <c r="B523" i="1"/>
  <c r="A523" i="1"/>
  <c r="J522" i="1"/>
  <c r="G522" i="1"/>
  <c r="F522" i="1"/>
  <c r="E522" i="1"/>
  <c r="D522" i="1"/>
  <c r="C522" i="1"/>
  <c r="B522" i="1"/>
  <c r="A522" i="1"/>
  <c r="J521" i="1"/>
  <c r="G521" i="1"/>
  <c r="F521" i="1"/>
  <c r="E521" i="1"/>
  <c r="D521" i="1"/>
  <c r="C521" i="1"/>
  <c r="B521" i="1"/>
  <c r="A521" i="1"/>
  <c r="J520" i="1"/>
  <c r="G520" i="1"/>
  <c r="F520" i="1"/>
  <c r="E520" i="1"/>
  <c r="D520" i="1"/>
  <c r="C520" i="1"/>
  <c r="B520" i="1"/>
  <c r="A520" i="1"/>
  <c r="J519" i="1"/>
  <c r="G519" i="1"/>
  <c r="F519" i="1"/>
  <c r="E519" i="1"/>
  <c r="D519" i="1"/>
  <c r="C519" i="1"/>
  <c r="B519" i="1"/>
  <c r="A519" i="1"/>
  <c r="J518" i="1"/>
  <c r="G518" i="1"/>
  <c r="F518" i="1"/>
  <c r="E518" i="1"/>
  <c r="D518" i="1"/>
  <c r="C518" i="1"/>
  <c r="B518" i="1"/>
  <c r="A518" i="1"/>
  <c r="J517" i="1"/>
  <c r="G517" i="1"/>
  <c r="F517" i="1"/>
  <c r="E517" i="1"/>
  <c r="D517" i="1"/>
  <c r="C517" i="1"/>
  <c r="B517" i="1"/>
  <c r="A517" i="1"/>
  <c r="J516" i="1"/>
  <c r="G516" i="1"/>
  <c r="F516" i="1"/>
  <c r="E516" i="1"/>
  <c r="D516" i="1"/>
  <c r="C516" i="1"/>
  <c r="B516" i="1"/>
  <c r="A516" i="1"/>
  <c r="J515" i="1"/>
  <c r="G515" i="1"/>
  <c r="F515" i="1"/>
  <c r="E515" i="1"/>
  <c r="D515" i="1"/>
  <c r="C515" i="1"/>
  <c r="B515" i="1"/>
  <c r="A515" i="1"/>
  <c r="J514" i="1"/>
  <c r="G514" i="1"/>
  <c r="F514" i="1"/>
  <c r="E514" i="1"/>
  <c r="D514" i="1"/>
  <c r="C514" i="1"/>
  <c r="B514" i="1"/>
  <c r="A514" i="1"/>
  <c r="J513" i="1"/>
  <c r="G513" i="1"/>
  <c r="F513" i="1"/>
  <c r="E513" i="1"/>
  <c r="D513" i="1"/>
  <c r="C513" i="1"/>
  <c r="B513" i="1"/>
  <c r="A513" i="1"/>
  <c r="J512" i="1"/>
  <c r="G512" i="1"/>
  <c r="F512" i="1"/>
  <c r="E512" i="1"/>
  <c r="D512" i="1"/>
  <c r="C512" i="1"/>
  <c r="B512" i="1"/>
  <c r="A512" i="1"/>
  <c r="J511" i="1"/>
  <c r="G511" i="1"/>
  <c r="F511" i="1"/>
  <c r="E511" i="1"/>
  <c r="D511" i="1"/>
  <c r="C511" i="1"/>
  <c r="B511" i="1"/>
  <c r="A511" i="1"/>
  <c r="J510" i="1"/>
  <c r="G510" i="1"/>
  <c r="F510" i="1"/>
  <c r="E510" i="1"/>
  <c r="D510" i="1"/>
  <c r="C510" i="1"/>
  <c r="B510" i="1"/>
  <c r="A510" i="1"/>
  <c r="J509" i="1"/>
  <c r="G509" i="1"/>
  <c r="F509" i="1"/>
  <c r="E509" i="1"/>
  <c r="D509" i="1"/>
  <c r="C509" i="1"/>
  <c r="B509" i="1"/>
  <c r="A509" i="1"/>
  <c r="J508" i="1"/>
  <c r="G508" i="1"/>
  <c r="F508" i="1"/>
  <c r="E508" i="1"/>
  <c r="D508" i="1"/>
  <c r="C508" i="1"/>
  <c r="B508" i="1"/>
  <c r="A508" i="1"/>
  <c r="J507" i="1"/>
  <c r="G507" i="1"/>
  <c r="F507" i="1"/>
  <c r="E507" i="1"/>
  <c r="D507" i="1"/>
  <c r="C507" i="1"/>
  <c r="B507" i="1"/>
  <c r="A507" i="1"/>
  <c r="J506" i="1"/>
  <c r="G506" i="1"/>
  <c r="F506" i="1"/>
  <c r="E506" i="1"/>
  <c r="D506" i="1"/>
  <c r="C506" i="1"/>
  <c r="B506" i="1"/>
  <c r="A506" i="1"/>
  <c r="J505" i="1"/>
  <c r="G505" i="1"/>
  <c r="F505" i="1"/>
  <c r="E505" i="1"/>
  <c r="D505" i="1"/>
  <c r="C505" i="1"/>
  <c r="B505" i="1"/>
  <c r="A505" i="1"/>
  <c r="J504" i="1"/>
  <c r="G504" i="1"/>
  <c r="F504" i="1"/>
  <c r="E504" i="1"/>
  <c r="D504" i="1"/>
  <c r="C504" i="1"/>
  <c r="B504" i="1"/>
  <c r="A504" i="1"/>
  <c r="J503" i="1"/>
  <c r="G503" i="1"/>
  <c r="F503" i="1"/>
  <c r="E503" i="1"/>
  <c r="D503" i="1"/>
  <c r="C503" i="1"/>
  <c r="B503" i="1"/>
  <c r="A503" i="1"/>
  <c r="J502" i="1"/>
  <c r="G502" i="1"/>
  <c r="F502" i="1"/>
  <c r="E502" i="1"/>
  <c r="D502" i="1"/>
  <c r="C502" i="1"/>
  <c r="B502" i="1"/>
  <c r="A502" i="1"/>
  <c r="J501" i="1"/>
  <c r="G501" i="1"/>
  <c r="F501" i="1"/>
  <c r="E501" i="1"/>
  <c r="D501" i="1"/>
  <c r="C501" i="1"/>
  <c r="B501" i="1"/>
  <c r="A501" i="1"/>
  <c r="J500" i="1"/>
  <c r="G500" i="1"/>
  <c r="F500" i="1"/>
  <c r="E500" i="1"/>
  <c r="D500" i="1"/>
  <c r="C500" i="1"/>
  <c r="B500" i="1"/>
  <c r="A500" i="1"/>
  <c r="J499" i="1"/>
  <c r="G499" i="1"/>
  <c r="F499" i="1"/>
  <c r="E499" i="1"/>
  <c r="D499" i="1"/>
  <c r="C499" i="1"/>
  <c r="B499" i="1"/>
  <c r="A499" i="1"/>
  <c r="J498" i="1"/>
  <c r="G498" i="1"/>
  <c r="F498" i="1"/>
  <c r="E498" i="1"/>
  <c r="D498" i="1"/>
  <c r="C498" i="1"/>
  <c r="B498" i="1"/>
  <c r="A498" i="1"/>
  <c r="J497" i="1"/>
  <c r="G497" i="1"/>
  <c r="F497" i="1"/>
  <c r="E497" i="1"/>
  <c r="D497" i="1"/>
  <c r="C497" i="1"/>
  <c r="B497" i="1"/>
  <c r="A497" i="1"/>
  <c r="J496" i="1"/>
  <c r="G496" i="1"/>
  <c r="F496" i="1"/>
  <c r="E496" i="1"/>
  <c r="D496" i="1"/>
  <c r="C496" i="1"/>
  <c r="B496" i="1"/>
  <c r="A496" i="1"/>
  <c r="J495" i="1"/>
  <c r="G495" i="1"/>
  <c r="F495" i="1"/>
  <c r="E495" i="1"/>
  <c r="D495" i="1"/>
  <c r="C495" i="1"/>
  <c r="B495" i="1"/>
  <c r="A495" i="1"/>
  <c r="J494" i="1"/>
  <c r="G494" i="1"/>
  <c r="F494" i="1"/>
  <c r="E494" i="1"/>
  <c r="D494" i="1"/>
  <c r="C494" i="1"/>
  <c r="B494" i="1"/>
  <c r="A494" i="1"/>
  <c r="J493" i="1"/>
  <c r="G493" i="1"/>
  <c r="F493" i="1"/>
  <c r="E493" i="1"/>
  <c r="D493" i="1"/>
  <c r="C493" i="1"/>
  <c r="B493" i="1"/>
  <c r="A493" i="1"/>
  <c r="J492" i="1"/>
  <c r="G492" i="1"/>
  <c r="F492" i="1"/>
  <c r="E492" i="1"/>
  <c r="D492" i="1"/>
  <c r="C492" i="1"/>
  <c r="B492" i="1"/>
  <c r="A492" i="1"/>
  <c r="J491" i="1"/>
  <c r="G491" i="1"/>
  <c r="F491" i="1"/>
  <c r="E491" i="1"/>
  <c r="D491" i="1"/>
  <c r="C491" i="1"/>
  <c r="B491" i="1"/>
  <c r="A491" i="1"/>
  <c r="J490" i="1"/>
  <c r="G490" i="1"/>
  <c r="F490" i="1"/>
  <c r="E490" i="1"/>
  <c r="D490" i="1"/>
  <c r="C490" i="1"/>
  <c r="B490" i="1"/>
  <c r="A490" i="1"/>
  <c r="J489" i="1"/>
  <c r="G489" i="1"/>
  <c r="F489" i="1"/>
  <c r="E489" i="1"/>
  <c r="D489" i="1"/>
  <c r="C489" i="1"/>
  <c r="B489" i="1"/>
  <c r="A489" i="1"/>
  <c r="J488" i="1"/>
  <c r="G488" i="1"/>
  <c r="F488" i="1"/>
  <c r="E488" i="1"/>
  <c r="D488" i="1"/>
  <c r="C488" i="1"/>
  <c r="B488" i="1"/>
  <c r="A488" i="1"/>
  <c r="J487" i="1"/>
  <c r="G487" i="1"/>
  <c r="F487" i="1"/>
  <c r="E487" i="1"/>
  <c r="D487" i="1"/>
  <c r="C487" i="1"/>
  <c r="B487" i="1"/>
  <c r="A487" i="1"/>
  <c r="J486" i="1"/>
  <c r="G486" i="1"/>
  <c r="F486" i="1"/>
  <c r="E486" i="1"/>
  <c r="D486" i="1"/>
  <c r="C486" i="1"/>
  <c r="B486" i="1"/>
  <c r="A486" i="1"/>
  <c r="J485" i="1"/>
  <c r="G485" i="1"/>
  <c r="F485" i="1"/>
  <c r="E485" i="1"/>
  <c r="D485" i="1"/>
  <c r="C485" i="1"/>
  <c r="B485" i="1"/>
  <c r="A485" i="1"/>
  <c r="J484" i="1"/>
  <c r="G484" i="1"/>
  <c r="F484" i="1"/>
  <c r="E484" i="1"/>
  <c r="D484" i="1"/>
  <c r="C484" i="1"/>
  <c r="B484" i="1"/>
  <c r="A484" i="1"/>
  <c r="J483" i="1"/>
  <c r="G483" i="1"/>
  <c r="F483" i="1"/>
  <c r="E483" i="1"/>
  <c r="D483" i="1"/>
  <c r="C483" i="1"/>
  <c r="B483" i="1"/>
  <c r="A483" i="1"/>
  <c r="J482" i="1"/>
  <c r="G482" i="1"/>
  <c r="F482" i="1"/>
  <c r="E482" i="1"/>
  <c r="D482" i="1"/>
  <c r="C482" i="1"/>
  <c r="B482" i="1"/>
  <c r="A482" i="1"/>
  <c r="J481" i="1"/>
  <c r="G481" i="1"/>
  <c r="F481" i="1"/>
  <c r="E481" i="1"/>
  <c r="D481" i="1"/>
  <c r="C481" i="1"/>
  <c r="B481" i="1"/>
  <c r="A481" i="1"/>
  <c r="J480" i="1"/>
  <c r="G480" i="1"/>
  <c r="F480" i="1"/>
  <c r="E480" i="1"/>
  <c r="D480" i="1"/>
  <c r="C480" i="1"/>
  <c r="B480" i="1"/>
  <c r="A480" i="1"/>
  <c r="J479" i="1"/>
  <c r="G479" i="1"/>
  <c r="F479" i="1"/>
  <c r="E479" i="1"/>
  <c r="D479" i="1"/>
  <c r="C479" i="1"/>
  <c r="B479" i="1"/>
  <c r="A479" i="1"/>
  <c r="J478" i="1"/>
  <c r="G478" i="1"/>
  <c r="F478" i="1"/>
  <c r="E478" i="1"/>
  <c r="D478" i="1"/>
  <c r="C478" i="1"/>
  <c r="B478" i="1"/>
  <c r="A478" i="1"/>
  <c r="J477" i="1"/>
  <c r="G477" i="1"/>
  <c r="F477" i="1"/>
  <c r="E477" i="1"/>
  <c r="D477" i="1"/>
  <c r="C477" i="1"/>
  <c r="B477" i="1"/>
  <c r="A477" i="1"/>
  <c r="J476" i="1"/>
  <c r="G476" i="1"/>
  <c r="F476" i="1"/>
  <c r="E476" i="1"/>
  <c r="D476" i="1"/>
  <c r="C476" i="1"/>
  <c r="B476" i="1"/>
  <c r="A476" i="1"/>
  <c r="J475" i="1"/>
  <c r="G475" i="1"/>
  <c r="F475" i="1"/>
  <c r="E475" i="1"/>
  <c r="D475" i="1"/>
  <c r="C475" i="1"/>
  <c r="B475" i="1"/>
  <c r="A475" i="1"/>
  <c r="J474" i="1"/>
  <c r="G474" i="1"/>
  <c r="F474" i="1"/>
  <c r="E474" i="1"/>
  <c r="D474" i="1"/>
  <c r="C474" i="1"/>
  <c r="B474" i="1"/>
  <c r="A474" i="1"/>
  <c r="J473" i="1"/>
  <c r="G473" i="1"/>
  <c r="F473" i="1"/>
  <c r="E473" i="1"/>
  <c r="D473" i="1"/>
  <c r="C473" i="1"/>
  <c r="B473" i="1"/>
  <c r="A473" i="1"/>
  <c r="J472" i="1"/>
  <c r="G472" i="1"/>
  <c r="F472" i="1"/>
  <c r="E472" i="1"/>
  <c r="C472" i="1"/>
  <c r="B472" i="1"/>
  <c r="A472" i="1"/>
  <c r="J471" i="1"/>
  <c r="G471" i="1"/>
  <c r="F471" i="1"/>
  <c r="E471" i="1"/>
  <c r="D471" i="1"/>
  <c r="C471" i="1"/>
  <c r="B471" i="1"/>
  <c r="A471" i="1"/>
  <c r="J470" i="1"/>
  <c r="G470" i="1"/>
  <c r="F470" i="1"/>
  <c r="E470" i="1"/>
  <c r="D470" i="1"/>
  <c r="C470" i="1"/>
  <c r="B470" i="1"/>
  <c r="A470" i="1"/>
  <c r="J469" i="1"/>
  <c r="G469" i="1"/>
  <c r="F469" i="1"/>
  <c r="E469" i="1"/>
  <c r="D469" i="1"/>
  <c r="C469" i="1"/>
  <c r="B469" i="1"/>
  <c r="A469" i="1"/>
  <c r="J468" i="1"/>
  <c r="G468" i="1"/>
  <c r="F468" i="1"/>
  <c r="E468" i="1"/>
  <c r="D468" i="1"/>
  <c r="C468" i="1"/>
  <c r="B468" i="1"/>
  <c r="A468" i="1"/>
  <c r="J467" i="1"/>
  <c r="G467" i="1"/>
  <c r="F467" i="1"/>
  <c r="E467" i="1"/>
  <c r="D467" i="1"/>
  <c r="C467" i="1"/>
  <c r="B467" i="1"/>
  <c r="A467" i="1"/>
  <c r="J466" i="1"/>
  <c r="G466" i="1"/>
  <c r="F466" i="1"/>
  <c r="E466" i="1"/>
  <c r="D466" i="1"/>
  <c r="C466" i="1"/>
  <c r="B466" i="1"/>
  <c r="A466" i="1"/>
  <c r="J465" i="1"/>
  <c r="G465" i="1"/>
  <c r="F465" i="1"/>
  <c r="E465" i="1"/>
  <c r="D465" i="1"/>
  <c r="C465" i="1"/>
  <c r="B465" i="1"/>
  <c r="A465" i="1"/>
  <c r="J464" i="1"/>
  <c r="G464" i="1"/>
  <c r="F464" i="1"/>
  <c r="E464" i="1"/>
  <c r="D464" i="1"/>
  <c r="C464" i="1"/>
  <c r="B464" i="1"/>
  <c r="A464" i="1"/>
  <c r="J463" i="1"/>
  <c r="G463" i="1"/>
  <c r="F463" i="1"/>
  <c r="E463" i="1"/>
  <c r="D463" i="1"/>
  <c r="C463" i="1"/>
  <c r="B463" i="1"/>
  <c r="A463" i="1"/>
  <c r="J462" i="1"/>
  <c r="G462" i="1"/>
  <c r="F462" i="1"/>
  <c r="E462" i="1"/>
  <c r="D462" i="1"/>
  <c r="C462" i="1"/>
  <c r="B462" i="1"/>
  <c r="A462" i="1"/>
  <c r="J461" i="1"/>
  <c r="G461" i="1"/>
  <c r="F461" i="1"/>
  <c r="E461" i="1"/>
  <c r="D461" i="1"/>
  <c r="C461" i="1"/>
  <c r="B461" i="1"/>
  <c r="A461" i="1"/>
  <c r="J460" i="1"/>
  <c r="G460" i="1"/>
  <c r="F460" i="1"/>
  <c r="E460" i="1"/>
  <c r="D460" i="1"/>
  <c r="C460" i="1"/>
  <c r="B460" i="1"/>
  <c r="A460" i="1"/>
  <c r="J459" i="1"/>
  <c r="G459" i="1"/>
  <c r="F459" i="1"/>
  <c r="E459" i="1"/>
  <c r="D459" i="1"/>
  <c r="C459" i="1"/>
  <c r="B459" i="1"/>
  <c r="A459" i="1"/>
  <c r="J458" i="1"/>
  <c r="G458" i="1"/>
  <c r="F458" i="1"/>
  <c r="E458" i="1"/>
  <c r="D458" i="1"/>
  <c r="C458" i="1"/>
  <c r="B458" i="1"/>
  <c r="A458" i="1"/>
  <c r="J457" i="1"/>
  <c r="G457" i="1"/>
  <c r="F457" i="1"/>
  <c r="E457" i="1"/>
  <c r="D457" i="1"/>
  <c r="C457" i="1"/>
  <c r="B457" i="1"/>
  <c r="A457" i="1"/>
  <c r="J456" i="1"/>
  <c r="G456" i="1"/>
  <c r="F456" i="1"/>
  <c r="E456" i="1"/>
  <c r="D456" i="1"/>
  <c r="C456" i="1"/>
  <c r="B456" i="1"/>
  <c r="A456" i="1"/>
  <c r="J455" i="1"/>
  <c r="G455" i="1"/>
  <c r="F455" i="1"/>
  <c r="E455" i="1"/>
  <c r="D455" i="1"/>
  <c r="C455" i="1"/>
  <c r="B455" i="1"/>
  <c r="A455" i="1"/>
  <c r="J454" i="1"/>
  <c r="G454" i="1"/>
  <c r="F454" i="1"/>
  <c r="E454" i="1"/>
  <c r="D454" i="1"/>
  <c r="C454" i="1"/>
  <c r="B454" i="1"/>
  <c r="A454" i="1"/>
  <c r="J453" i="1"/>
  <c r="G453" i="1"/>
  <c r="F453" i="1"/>
  <c r="E453" i="1"/>
  <c r="D453" i="1"/>
  <c r="C453" i="1"/>
  <c r="B453" i="1"/>
  <c r="A453" i="1"/>
  <c r="J452" i="1"/>
  <c r="G452" i="1"/>
  <c r="F452" i="1"/>
  <c r="E452" i="1"/>
  <c r="D452" i="1"/>
  <c r="C452" i="1"/>
  <c r="B452" i="1"/>
  <c r="A452" i="1"/>
  <c r="J451" i="1"/>
  <c r="G451" i="1"/>
  <c r="F451" i="1"/>
  <c r="E451" i="1"/>
  <c r="D451" i="1"/>
  <c r="C451" i="1"/>
  <c r="B451" i="1"/>
  <c r="A451" i="1"/>
  <c r="J450" i="1"/>
  <c r="G450" i="1"/>
  <c r="F450" i="1"/>
  <c r="E450" i="1"/>
  <c r="D450" i="1"/>
  <c r="C450" i="1"/>
  <c r="B450" i="1"/>
  <c r="A450" i="1"/>
  <c r="J449" i="1"/>
  <c r="G449" i="1"/>
  <c r="F449" i="1"/>
  <c r="E449" i="1"/>
  <c r="D449" i="1"/>
  <c r="C449" i="1"/>
  <c r="B449" i="1"/>
  <c r="A449" i="1"/>
  <c r="J448" i="1"/>
  <c r="G448" i="1"/>
  <c r="F448" i="1"/>
  <c r="E448" i="1"/>
  <c r="D448" i="1"/>
  <c r="C448" i="1"/>
  <c r="B448" i="1"/>
  <c r="A448" i="1"/>
  <c r="J447" i="1"/>
  <c r="G447" i="1"/>
  <c r="F447" i="1"/>
  <c r="E447" i="1"/>
  <c r="D447" i="1"/>
  <c r="C447" i="1"/>
  <c r="B447" i="1"/>
  <c r="A447" i="1"/>
  <c r="J446" i="1"/>
  <c r="G446" i="1"/>
  <c r="F446" i="1"/>
  <c r="E446" i="1"/>
  <c r="D446" i="1"/>
  <c r="C446" i="1"/>
  <c r="B446" i="1"/>
  <c r="A446" i="1"/>
  <c r="J445" i="1"/>
  <c r="G445" i="1"/>
  <c r="F445" i="1"/>
  <c r="E445" i="1"/>
  <c r="D445" i="1"/>
  <c r="C445" i="1"/>
  <c r="B445" i="1"/>
  <c r="A445" i="1"/>
  <c r="J444" i="1"/>
  <c r="G444" i="1"/>
  <c r="F444" i="1"/>
  <c r="E444" i="1"/>
  <c r="C444" i="1"/>
  <c r="B444" i="1"/>
  <c r="A444" i="1"/>
  <c r="J443" i="1"/>
  <c r="G443" i="1"/>
  <c r="F443" i="1"/>
  <c r="E443" i="1"/>
  <c r="D443" i="1"/>
  <c r="C443" i="1"/>
  <c r="B443" i="1"/>
  <c r="A443" i="1"/>
  <c r="J442" i="1"/>
  <c r="G442" i="1"/>
  <c r="F442" i="1"/>
  <c r="E442" i="1"/>
  <c r="D442" i="1"/>
  <c r="C442" i="1"/>
  <c r="B442" i="1"/>
  <c r="A442" i="1"/>
  <c r="J441" i="1"/>
  <c r="G441" i="1"/>
  <c r="F441" i="1"/>
  <c r="E441" i="1"/>
  <c r="D441" i="1"/>
  <c r="C441" i="1"/>
  <c r="B441" i="1"/>
  <c r="A441" i="1"/>
  <c r="J440" i="1"/>
  <c r="G440" i="1"/>
  <c r="F440" i="1"/>
  <c r="E440" i="1"/>
  <c r="D440" i="1"/>
  <c r="C440" i="1"/>
  <c r="B440" i="1"/>
  <c r="A440" i="1"/>
  <c r="J439" i="1"/>
  <c r="G439" i="1"/>
  <c r="F439" i="1"/>
  <c r="E439" i="1"/>
  <c r="D439" i="1"/>
  <c r="C439" i="1"/>
  <c r="B439" i="1"/>
  <c r="A439" i="1"/>
  <c r="J438" i="1"/>
  <c r="G438" i="1"/>
  <c r="F438" i="1"/>
  <c r="E438" i="1"/>
  <c r="D438" i="1"/>
  <c r="C438" i="1"/>
  <c r="B438" i="1"/>
  <c r="A438" i="1"/>
  <c r="J437" i="1"/>
  <c r="G437" i="1"/>
  <c r="F437" i="1"/>
  <c r="E437" i="1"/>
  <c r="C437" i="1"/>
  <c r="B437" i="1"/>
  <c r="A437" i="1"/>
  <c r="J436" i="1"/>
  <c r="G436" i="1"/>
  <c r="F436" i="1"/>
  <c r="E436" i="1"/>
  <c r="D436" i="1"/>
  <c r="C436" i="1"/>
  <c r="B436" i="1"/>
  <c r="A436" i="1"/>
  <c r="J435" i="1"/>
  <c r="G435" i="1"/>
  <c r="F435" i="1"/>
  <c r="E435" i="1"/>
  <c r="D435" i="1"/>
  <c r="C435" i="1"/>
  <c r="B435" i="1"/>
  <c r="A435" i="1"/>
  <c r="J434" i="1"/>
  <c r="G434" i="1"/>
  <c r="F434" i="1"/>
  <c r="E434" i="1"/>
  <c r="D434" i="1"/>
  <c r="C434" i="1"/>
  <c r="B434" i="1"/>
  <c r="A434" i="1"/>
  <c r="J433" i="1"/>
  <c r="G433" i="1"/>
  <c r="F433" i="1"/>
  <c r="E433" i="1"/>
  <c r="D433" i="1"/>
  <c r="C433" i="1"/>
  <c r="B433" i="1"/>
  <c r="A433" i="1"/>
  <c r="J432" i="1"/>
  <c r="G432" i="1"/>
  <c r="F432" i="1"/>
  <c r="E432" i="1"/>
  <c r="D432" i="1"/>
  <c r="C432" i="1"/>
  <c r="B432" i="1"/>
  <c r="A432" i="1"/>
  <c r="J431" i="1"/>
  <c r="G431" i="1"/>
  <c r="F431" i="1"/>
  <c r="E431" i="1"/>
  <c r="D431" i="1"/>
  <c r="C431" i="1"/>
  <c r="B431" i="1"/>
  <c r="A431" i="1"/>
  <c r="J430" i="1"/>
  <c r="G430" i="1"/>
  <c r="F430" i="1"/>
  <c r="E430" i="1"/>
  <c r="D430" i="1"/>
  <c r="C430" i="1"/>
  <c r="B430" i="1"/>
  <c r="A430" i="1"/>
  <c r="J429" i="1"/>
  <c r="G429" i="1"/>
  <c r="F429" i="1"/>
  <c r="E429" i="1"/>
  <c r="D429" i="1"/>
  <c r="C429" i="1"/>
  <c r="B429" i="1"/>
  <c r="A429" i="1"/>
  <c r="J428" i="1"/>
  <c r="G428" i="1"/>
  <c r="F428" i="1"/>
  <c r="E428" i="1"/>
  <c r="D428" i="1"/>
  <c r="C428" i="1"/>
  <c r="B428" i="1"/>
  <c r="A428" i="1"/>
  <c r="J427" i="1"/>
  <c r="G427" i="1"/>
  <c r="F427" i="1"/>
  <c r="E427" i="1"/>
  <c r="D427" i="1"/>
  <c r="C427" i="1"/>
  <c r="B427" i="1"/>
  <c r="A427" i="1"/>
  <c r="J426" i="1"/>
  <c r="G426" i="1"/>
  <c r="F426" i="1"/>
  <c r="E426" i="1"/>
  <c r="D426" i="1"/>
  <c r="C426" i="1"/>
  <c r="B426" i="1"/>
  <c r="A426" i="1"/>
  <c r="J425" i="1"/>
  <c r="G425" i="1"/>
  <c r="F425" i="1"/>
  <c r="E425" i="1"/>
  <c r="D425" i="1"/>
  <c r="C425" i="1"/>
  <c r="B425" i="1"/>
  <c r="A425" i="1"/>
  <c r="J424" i="1"/>
  <c r="G424" i="1"/>
  <c r="F424" i="1"/>
  <c r="E424" i="1"/>
  <c r="D424" i="1"/>
  <c r="C424" i="1"/>
  <c r="B424" i="1"/>
  <c r="A424" i="1"/>
  <c r="J423" i="1"/>
  <c r="G423" i="1"/>
  <c r="F423" i="1"/>
  <c r="E423" i="1"/>
  <c r="D423" i="1"/>
  <c r="C423" i="1"/>
  <c r="B423" i="1"/>
  <c r="A423" i="1"/>
  <c r="J422" i="1"/>
  <c r="G422" i="1"/>
  <c r="F422" i="1"/>
  <c r="E422" i="1"/>
  <c r="C422" i="1"/>
  <c r="B422" i="1"/>
  <c r="A422" i="1"/>
  <c r="J421" i="1"/>
  <c r="G421" i="1"/>
  <c r="F421" i="1"/>
  <c r="E421" i="1"/>
  <c r="C421" i="1"/>
  <c r="B421" i="1"/>
  <c r="A421" i="1"/>
  <c r="J420" i="1"/>
  <c r="G420" i="1"/>
  <c r="F420" i="1"/>
  <c r="E420" i="1"/>
  <c r="D420" i="1"/>
  <c r="C420" i="1"/>
  <c r="B420" i="1"/>
  <c r="A420" i="1"/>
  <c r="J419" i="1"/>
  <c r="G419" i="1"/>
  <c r="F419" i="1"/>
  <c r="E419" i="1"/>
  <c r="D419" i="1"/>
  <c r="C419" i="1"/>
  <c r="B419" i="1"/>
  <c r="A419" i="1"/>
  <c r="J418" i="1"/>
  <c r="G418" i="1"/>
  <c r="F418" i="1"/>
  <c r="E418" i="1"/>
  <c r="D418" i="1"/>
  <c r="C418" i="1"/>
  <c r="B418" i="1"/>
  <c r="A418" i="1"/>
  <c r="J417" i="1"/>
  <c r="G417" i="1"/>
  <c r="F417" i="1"/>
  <c r="E417" i="1"/>
  <c r="D417" i="1"/>
  <c r="C417" i="1"/>
  <c r="B417" i="1"/>
  <c r="A417" i="1"/>
  <c r="J416" i="1"/>
  <c r="G416" i="1"/>
  <c r="F416" i="1"/>
  <c r="E416" i="1"/>
  <c r="D416" i="1"/>
  <c r="C416" i="1"/>
  <c r="B416" i="1"/>
  <c r="A416" i="1"/>
  <c r="J415" i="1"/>
  <c r="G415" i="1"/>
  <c r="F415" i="1"/>
  <c r="E415" i="1"/>
  <c r="D415" i="1"/>
  <c r="C415" i="1"/>
  <c r="B415" i="1"/>
  <c r="A415" i="1"/>
  <c r="J414" i="1"/>
  <c r="G414" i="1"/>
  <c r="F414" i="1"/>
  <c r="E414" i="1"/>
  <c r="D414" i="1"/>
  <c r="C414" i="1"/>
  <c r="B414" i="1"/>
  <c r="A414" i="1"/>
  <c r="J413" i="1"/>
  <c r="G413" i="1"/>
  <c r="F413" i="1"/>
  <c r="E413" i="1"/>
  <c r="D413" i="1"/>
  <c r="C413" i="1"/>
  <c r="B413" i="1"/>
  <c r="A413" i="1"/>
  <c r="J412" i="1"/>
  <c r="G412" i="1"/>
  <c r="F412" i="1"/>
  <c r="E412" i="1"/>
  <c r="D412" i="1"/>
  <c r="C412" i="1"/>
  <c r="B412" i="1"/>
  <c r="A412" i="1"/>
  <c r="J411" i="1"/>
  <c r="G411" i="1"/>
  <c r="F411" i="1"/>
  <c r="E411" i="1"/>
  <c r="D411" i="1"/>
  <c r="C411" i="1"/>
  <c r="B411" i="1"/>
  <c r="A411" i="1"/>
  <c r="J410" i="1"/>
  <c r="G410" i="1"/>
  <c r="F410" i="1"/>
  <c r="E410" i="1"/>
  <c r="D410" i="1"/>
  <c r="C410" i="1"/>
  <c r="B410" i="1"/>
  <c r="A410" i="1"/>
  <c r="J409" i="1"/>
  <c r="G409" i="1"/>
  <c r="F409" i="1"/>
  <c r="E409" i="1"/>
  <c r="D409" i="1"/>
  <c r="C409" i="1"/>
  <c r="B409" i="1"/>
  <c r="A409" i="1"/>
  <c r="J408" i="1"/>
  <c r="G408" i="1"/>
  <c r="F408" i="1"/>
  <c r="E408" i="1"/>
  <c r="D408" i="1"/>
  <c r="C408" i="1"/>
  <c r="B408" i="1"/>
  <c r="A408" i="1"/>
  <c r="J407" i="1"/>
  <c r="G407" i="1"/>
  <c r="F407" i="1"/>
  <c r="E407" i="1"/>
  <c r="D407" i="1"/>
  <c r="C407" i="1"/>
  <c r="B407" i="1"/>
  <c r="A407" i="1"/>
  <c r="J406" i="1"/>
  <c r="G406" i="1"/>
  <c r="F406" i="1"/>
  <c r="E406" i="1"/>
  <c r="D406" i="1"/>
  <c r="C406" i="1"/>
  <c r="B406" i="1"/>
  <c r="A406" i="1"/>
  <c r="J405" i="1"/>
  <c r="G405" i="1"/>
  <c r="F405" i="1"/>
  <c r="E405" i="1"/>
  <c r="D405" i="1"/>
  <c r="C405" i="1"/>
  <c r="B405" i="1"/>
  <c r="A405" i="1"/>
  <c r="J404" i="1"/>
  <c r="G404" i="1"/>
  <c r="F404" i="1"/>
  <c r="E404" i="1"/>
  <c r="D404" i="1"/>
  <c r="C404" i="1"/>
  <c r="B404" i="1"/>
  <c r="A404" i="1"/>
  <c r="J403" i="1"/>
  <c r="G403" i="1"/>
  <c r="F403" i="1"/>
  <c r="E403" i="1"/>
  <c r="D403" i="1"/>
  <c r="C403" i="1"/>
  <c r="B403" i="1"/>
  <c r="A403" i="1"/>
  <c r="J402" i="1"/>
  <c r="G402" i="1"/>
  <c r="F402" i="1"/>
  <c r="E402" i="1"/>
  <c r="D402" i="1"/>
  <c r="C402" i="1"/>
  <c r="B402" i="1"/>
  <c r="A402" i="1"/>
  <c r="J401" i="1"/>
  <c r="G401" i="1"/>
  <c r="F401" i="1"/>
  <c r="E401" i="1"/>
  <c r="D401" i="1"/>
  <c r="C401" i="1"/>
  <c r="B401" i="1"/>
  <c r="A401" i="1"/>
  <c r="J400" i="1"/>
  <c r="G400" i="1"/>
  <c r="F400" i="1"/>
  <c r="E400" i="1"/>
  <c r="D400" i="1"/>
  <c r="C400" i="1"/>
  <c r="B400" i="1"/>
  <c r="A400" i="1"/>
  <c r="J399" i="1"/>
  <c r="G399" i="1"/>
  <c r="F399" i="1"/>
  <c r="E399" i="1"/>
  <c r="D399" i="1"/>
  <c r="C399" i="1"/>
  <c r="B399" i="1"/>
  <c r="A399" i="1"/>
  <c r="J398" i="1"/>
  <c r="G398" i="1"/>
  <c r="F398" i="1"/>
  <c r="E398" i="1"/>
  <c r="D398" i="1"/>
  <c r="C398" i="1"/>
  <c r="B398" i="1"/>
  <c r="A398" i="1"/>
  <c r="J397" i="1"/>
  <c r="G397" i="1"/>
  <c r="F397" i="1"/>
  <c r="E397" i="1"/>
  <c r="D397" i="1"/>
  <c r="C397" i="1"/>
  <c r="B397" i="1"/>
  <c r="A397" i="1"/>
  <c r="J396" i="1"/>
  <c r="G396" i="1"/>
  <c r="F396" i="1"/>
  <c r="E396" i="1"/>
  <c r="D396" i="1"/>
  <c r="C396" i="1"/>
  <c r="B396" i="1"/>
  <c r="A396" i="1"/>
  <c r="J395" i="1"/>
  <c r="G395" i="1"/>
  <c r="F395" i="1"/>
  <c r="E395" i="1"/>
  <c r="D395" i="1"/>
  <c r="C395" i="1"/>
  <c r="B395" i="1"/>
  <c r="A395" i="1"/>
  <c r="J394" i="1"/>
  <c r="G394" i="1"/>
  <c r="F394" i="1"/>
  <c r="E394" i="1"/>
  <c r="D394" i="1"/>
  <c r="C394" i="1"/>
  <c r="B394" i="1"/>
  <c r="A394" i="1"/>
  <c r="J393" i="1"/>
  <c r="G393" i="1"/>
  <c r="F393" i="1"/>
  <c r="E393" i="1"/>
  <c r="D393" i="1"/>
  <c r="C393" i="1"/>
  <c r="B393" i="1"/>
  <c r="A393" i="1"/>
  <c r="J392" i="1"/>
  <c r="G392" i="1"/>
  <c r="F392" i="1"/>
  <c r="E392" i="1"/>
  <c r="D392" i="1"/>
  <c r="C392" i="1"/>
  <c r="B392" i="1"/>
  <c r="A392" i="1"/>
  <c r="J391" i="1"/>
  <c r="G391" i="1"/>
  <c r="F391" i="1"/>
  <c r="E391" i="1"/>
  <c r="D391" i="1"/>
  <c r="C391" i="1"/>
  <c r="B391" i="1"/>
  <c r="A391" i="1"/>
  <c r="J390" i="1"/>
  <c r="G390" i="1"/>
  <c r="F390" i="1"/>
  <c r="E390" i="1"/>
  <c r="D390" i="1"/>
  <c r="C390" i="1"/>
  <c r="B390" i="1"/>
  <c r="A390" i="1"/>
  <c r="J389" i="1"/>
  <c r="G389" i="1"/>
  <c r="F389" i="1"/>
  <c r="E389" i="1"/>
  <c r="D389" i="1"/>
  <c r="C389" i="1"/>
  <c r="B389" i="1"/>
  <c r="A389" i="1"/>
  <c r="J388" i="1"/>
  <c r="G388" i="1"/>
  <c r="F388" i="1"/>
  <c r="E388" i="1"/>
  <c r="D388" i="1"/>
  <c r="C388" i="1"/>
  <c r="B388" i="1"/>
  <c r="A388" i="1"/>
  <c r="J387" i="1"/>
  <c r="G387" i="1"/>
  <c r="F387" i="1"/>
  <c r="E387" i="1"/>
  <c r="D387" i="1"/>
  <c r="C387" i="1"/>
  <c r="B387" i="1"/>
  <c r="A387" i="1"/>
  <c r="J386" i="1"/>
  <c r="G386" i="1"/>
  <c r="F386" i="1"/>
  <c r="E386" i="1"/>
  <c r="D386" i="1"/>
  <c r="C386" i="1"/>
  <c r="B386" i="1"/>
  <c r="A386" i="1"/>
  <c r="J385" i="1"/>
  <c r="G385" i="1"/>
  <c r="F385" i="1"/>
  <c r="E385" i="1"/>
  <c r="D385" i="1"/>
  <c r="C385" i="1"/>
  <c r="B385" i="1"/>
  <c r="A385" i="1"/>
  <c r="J384" i="1"/>
  <c r="G384" i="1"/>
  <c r="F384" i="1"/>
  <c r="E384" i="1"/>
  <c r="D384" i="1"/>
  <c r="C384" i="1"/>
  <c r="B384" i="1"/>
  <c r="A384" i="1"/>
  <c r="J383" i="1"/>
  <c r="G383" i="1"/>
  <c r="F383" i="1"/>
  <c r="E383" i="1"/>
  <c r="D383" i="1"/>
  <c r="C383" i="1"/>
  <c r="B383" i="1"/>
  <c r="A383" i="1"/>
  <c r="J382" i="1"/>
  <c r="G382" i="1"/>
  <c r="F382" i="1"/>
  <c r="E382" i="1"/>
  <c r="D382" i="1"/>
  <c r="C382" i="1"/>
  <c r="B382" i="1"/>
  <c r="A382" i="1"/>
  <c r="J381" i="1"/>
  <c r="G381" i="1"/>
  <c r="F381" i="1"/>
  <c r="E381" i="1"/>
  <c r="D381" i="1"/>
  <c r="C381" i="1"/>
  <c r="B381" i="1"/>
  <c r="A381" i="1"/>
  <c r="J380" i="1"/>
  <c r="G380" i="1"/>
  <c r="F380" i="1"/>
  <c r="E380" i="1"/>
  <c r="D380" i="1"/>
  <c r="C380" i="1"/>
  <c r="B380" i="1"/>
  <c r="A380" i="1"/>
  <c r="J379" i="1"/>
  <c r="G379" i="1"/>
  <c r="F379" i="1"/>
  <c r="E379" i="1"/>
  <c r="D379" i="1"/>
  <c r="C379" i="1"/>
  <c r="B379" i="1"/>
  <c r="A379" i="1"/>
  <c r="J378" i="1"/>
  <c r="G378" i="1"/>
  <c r="F378" i="1"/>
  <c r="E378" i="1"/>
  <c r="D378" i="1"/>
  <c r="C378" i="1"/>
  <c r="B378" i="1"/>
  <c r="A378" i="1"/>
  <c r="J377" i="1"/>
  <c r="G377" i="1"/>
  <c r="F377" i="1"/>
  <c r="E377" i="1"/>
  <c r="D377" i="1"/>
  <c r="C377" i="1"/>
  <c r="B377" i="1"/>
  <c r="A377" i="1"/>
  <c r="J376" i="1"/>
  <c r="G376" i="1"/>
  <c r="F376" i="1"/>
  <c r="E376" i="1"/>
  <c r="D376" i="1"/>
  <c r="C376" i="1"/>
  <c r="B376" i="1"/>
  <c r="A376" i="1"/>
  <c r="J375" i="1"/>
  <c r="G375" i="1"/>
  <c r="F375" i="1"/>
  <c r="E375" i="1"/>
  <c r="D375" i="1"/>
  <c r="C375" i="1"/>
  <c r="B375" i="1"/>
  <c r="A375" i="1"/>
  <c r="J374" i="1"/>
  <c r="G374" i="1"/>
  <c r="F374" i="1"/>
  <c r="E374" i="1"/>
  <c r="D374" i="1"/>
  <c r="C374" i="1"/>
  <c r="B374" i="1"/>
  <c r="A374" i="1"/>
  <c r="J373" i="1"/>
  <c r="G373" i="1"/>
  <c r="F373" i="1"/>
  <c r="E373" i="1"/>
  <c r="D373" i="1"/>
  <c r="C373" i="1"/>
  <c r="B373" i="1"/>
  <c r="A373" i="1"/>
  <c r="J372" i="1"/>
  <c r="G372" i="1"/>
  <c r="F372" i="1"/>
  <c r="E372" i="1"/>
  <c r="D372" i="1"/>
  <c r="C372" i="1"/>
  <c r="B372" i="1"/>
  <c r="A372" i="1"/>
  <c r="J371" i="1"/>
  <c r="G371" i="1"/>
  <c r="F371" i="1"/>
  <c r="E371" i="1"/>
  <c r="C371" i="1"/>
  <c r="B371" i="1"/>
  <c r="A371" i="1"/>
  <c r="J370" i="1"/>
  <c r="G370" i="1"/>
  <c r="F370" i="1"/>
  <c r="E370" i="1"/>
  <c r="D370" i="1"/>
  <c r="C370" i="1"/>
  <c r="B370" i="1"/>
  <c r="A370" i="1"/>
  <c r="J369" i="1"/>
  <c r="G369" i="1"/>
  <c r="F369" i="1"/>
  <c r="E369" i="1"/>
  <c r="D369" i="1"/>
  <c r="C369" i="1"/>
  <c r="B369" i="1"/>
  <c r="A369" i="1"/>
  <c r="J368" i="1"/>
  <c r="G368" i="1"/>
  <c r="F368" i="1"/>
  <c r="E368" i="1"/>
  <c r="D368" i="1"/>
  <c r="C368" i="1"/>
  <c r="B368" i="1"/>
  <c r="A368" i="1"/>
  <c r="J367" i="1"/>
  <c r="G367" i="1"/>
  <c r="F367" i="1"/>
  <c r="E367" i="1"/>
  <c r="D367" i="1"/>
  <c r="C367" i="1"/>
  <c r="B367" i="1"/>
  <c r="A367" i="1"/>
  <c r="J366" i="1"/>
  <c r="G366" i="1"/>
  <c r="F366" i="1"/>
  <c r="E366" i="1"/>
  <c r="D366" i="1"/>
  <c r="C366" i="1"/>
  <c r="B366" i="1"/>
  <c r="A366" i="1"/>
  <c r="J365" i="1"/>
  <c r="G365" i="1"/>
  <c r="F365" i="1"/>
  <c r="E365" i="1"/>
  <c r="D365" i="1"/>
  <c r="C365" i="1"/>
  <c r="B365" i="1"/>
  <c r="A365" i="1"/>
  <c r="J364" i="1"/>
  <c r="G364" i="1"/>
  <c r="F364" i="1"/>
  <c r="E364" i="1"/>
  <c r="D364" i="1"/>
  <c r="C364" i="1"/>
  <c r="B364" i="1"/>
  <c r="A364" i="1"/>
  <c r="J363" i="1"/>
  <c r="G363" i="1"/>
  <c r="F363" i="1"/>
  <c r="E363" i="1"/>
  <c r="D363" i="1"/>
  <c r="C363" i="1"/>
  <c r="B363" i="1"/>
  <c r="A363" i="1"/>
  <c r="J362" i="1"/>
  <c r="G362" i="1"/>
  <c r="F362" i="1"/>
  <c r="E362" i="1"/>
  <c r="D362" i="1"/>
  <c r="C362" i="1"/>
  <c r="B362" i="1"/>
  <c r="A362" i="1"/>
  <c r="J361" i="1"/>
  <c r="G361" i="1"/>
  <c r="F361" i="1"/>
  <c r="E361" i="1"/>
  <c r="D361" i="1"/>
  <c r="C361" i="1"/>
  <c r="B361" i="1"/>
  <c r="A361" i="1"/>
  <c r="J360" i="1"/>
  <c r="G360" i="1"/>
  <c r="F360" i="1"/>
  <c r="E360" i="1"/>
  <c r="D360" i="1"/>
  <c r="C360" i="1"/>
  <c r="B360" i="1"/>
  <c r="A360" i="1"/>
  <c r="J359" i="1"/>
  <c r="G359" i="1"/>
  <c r="F359" i="1"/>
  <c r="E359" i="1"/>
  <c r="D359" i="1"/>
  <c r="C359" i="1"/>
  <c r="B359" i="1"/>
  <c r="A359" i="1"/>
  <c r="J358" i="1"/>
  <c r="G358" i="1"/>
  <c r="F358" i="1"/>
  <c r="E358" i="1"/>
  <c r="D358" i="1"/>
  <c r="C358" i="1"/>
  <c r="B358" i="1"/>
  <c r="A358" i="1"/>
  <c r="J357" i="1"/>
  <c r="G357" i="1"/>
  <c r="F357" i="1"/>
  <c r="E357" i="1"/>
  <c r="D357" i="1"/>
  <c r="C357" i="1"/>
  <c r="B357" i="1"/>
  <c r="A357" i="1"/>
  <c r="J356" i="1"/>
  <c r="G356" i="1"/>
  <c r="F356" i="1"/>
  <c r="E356" i="1"/>
  <c r="D356" i="1"/>
  <c r="C356" i="1"/>
  <c r="B356" i="1"/>
  <c r="A356" i="1"/>
  <c r="J355" i="1"/>
  <c r="G355" i="1"/>
  <c r="F355" i="1"/>
  <c r="E355" i="1"/>
  <c r="D355" i="1"/>
  <c r="C355" i="1"/>
  <c r="B355" i="1"/>
  <c r="A355" i="1"/>
  <c r="J354" i="1"/>
  <c r="G354" i="1"/>
  <c r="F354" i="1"/>
  <c r="E354" i="1"/>
  <c r="D354" i="1"/>
  <c r="C354" i="1"/>
  <c r="B354" i="1"/>
  <c r="A354" i="1"/>
  <c r="J353" i="1"/>
  <c r="G353" i="1"/>
  <c r="F353" i="1"/>
  <c r="E353" i="1"/>
  <c r="D353" i="1"/>
  <c r="C353" i="1"/>
  <c r="B353" i="1"/>
  <c r="A353" i="1"/>
  <c r="J352" i="1"/>
  <c r="G352" i="1"/>
  <c r="F352" i="1"/>
  <c r="E352" i="1"/>
  <c r="D352" i="1"/>
  <c r="C352" i="1"/>
  <c r="B352" i="1"/>
  <c r="A352" i="1"/>
  <c r="J351" i="1"/>
  <c r="G351" i="1"/>
  <c r="F351" i="1"/>
  <c r="E351" i="1"/>
  <c r="D351" i="1"/>
  <c r="C351" i="1"/>
  <c r="B351" i="1"/>
  <c r="A351" i="1"/>
  <c r="J350" i="1"/>
  <c r="G350" i="1"/>
  <c r="F350" i="1"/>
  <c r="E350" i="1"/>
  <c r="C350" i="1"/>
  <c r="B350" i="1"/>
  <c r="A350" i="1"/>
  <c r="J349" i="1"/>
  <c r="G349" i="1"/>
  <c r="F349" i="1"/>
  <c r="E349" i="1"/>
  <c r="C349" i="1"/>
  <c r="B349" i="1"/>
  <c r="A349" i="1"/>
  <c r="J348" i="1"/>
  <c r="G348" i="1"/>
  <c r="F348" i="1"/>
  <c r="E348" i="1"/>
  <c r="D348" i="1"/>
  <c r="C348" i="1"/>
  <c r="B348" i="1"/>
  <c r="A348" i="1"/>
  <c r="J347" i="1"/>
  <c r="G347" i="1"/>
  <c r="F347" i="1"/>
  <c r="E347" i="1"/>
  <c r="D347" i="1"/>
  <c r="C347" i="1"/>
  <c r="B347" i="1"/>
  <c r="A347" i="1"/>
  <c r="J346" i="1"/>
  <c r="G346" i="1"/>
  <c r="F346" i="1"/>
  <c r="E346" i="1"/>
  <c r="D346" i="1"/>
  <c r="C346" i="1"/>
  <c r="B346" i="1"/>
  <c r="A346" i="1"/>
  <c r="J345" i="1"/>
  <c r="G345" i="1"/>
  <c r="F345" i="1"/>
  <c r="E345" i="1"/>
  <c r="D345" i="1"/>
  <c r="C345" i="1"/>
  <c r="B345" i="1"/>
  <c r="A345" i="1"/>
  <c r="J344" i="1"/>
  <c r="G344" i="1"/>
  <c r="F344" i="1"/>
  <c r="E344" i="1"/>
  <c r="D344" i="1"/>
  <c r="C344" i="1"/>
  <c r="B344" i="1"/>
  <c r="A344" i="1"/>
  <c r="J343" i="1"/>
  <c r="G343" i="1"/>
  <c r="F343" i="1"/>
  <c r="E343" i="1"/>
  <c r="D343" i="1"/>
  <c r="C343" i="1"/>
  <c r="B343" i="1"/>
  <c r="A343" i="1"/>
  <c r="J342" i="1"/>
  <c r="G342" i="1"/>
  <c r="F342" i="1"/>
  <c r="E342" i="1"/>
  <c r="D342" i="1"/>
  <c r="C342" i="1"/>
  <c r="B342" i="1"/>
  <c r="A342" i="1"/>
  <c r="J341" i="1"/>
  <c r="G341" i="1"/>
  <c r="F341" i="1"/>
  <c r="E341" i="1"/>
  <c r="D341" i="1"/>
  <c r="C341" i="1"/>
  <c r="B341" i="1"/>
  <c r="A341" i="1"/>
  <c r="J340" i="1"/>
  <c r="G340" i="1"/>
  <c r="F340" i="1"/>
  <c r="E340" i="1"/>
  <c r="D340" i="1"/>
  <c r="C340" i="1"/>
  <c r="B340" i="1"/>
  <c r="A340" i="1"/>
  <c r="J339" i="1"/>
  <c r="G339" i="1"/>
  <c r="F339" i="1"/>
  <c r="E339" i="1"/>
  <c r="D339" i="1"/>
  <c r="C339" i="1"/>
  <c r="B339" i="1"/>
  <c r="A339" i="1"/>
  <c r="J338" i="1"/>
  <c r="G338" i="1"/>
  <c r="F338" i="1"/>
  <c r="E338" i="1"/>
  <c r="D338" i="1"/>
  <c r="C338" i="1"/>
  <c r="B338" i="1"/>
  <c r="A338" i="1"/>
  <c r="J337" i="1"/>
  <c r="G337" i="1"/>
  <c r="F337" i="1"/>
  <c r="E337" i="1"/>
  <c r="D337" i="1"/>
  <c r="C337" i="1"/>
  <c r="B337" i="1"/>
  <c r="A337" i="1"/>
  <c r="J336" i="1"/>
  <c r="G336" i="1"/>
  <c r="F336" i="1"/>
  <c r="E336" i="1"/>
  <c r="D336" i="1"/>
  <c r="C336" i="1"/>
  <c r="B336" i="1"/>
  <c r="A336" i="1"/>
  <c r="J335" i="1"/>
  <c r="G335" i="1"/>
  <c r="F335" i="1"/>
  <c r="E335" i="1"/>
  <c r="D335" i="1"/>
  <c r="C335" i="1"/>
  <c r="B335" i="1"/>
  <c r="A335" i="1"/>
  <c r="J334" i="1"/>
  <c r="G334" i="1"/>
  <c r="F334" i="1"/>
  <c r="E334" i="1"/>
  <c r="D334" i="1"/>
  <c r="C334" i="1"/>
  <c r="B334" i="1"/>
  <c r="A334" i="1"/>
  <c r="J333" i="1"/>
  <c r="G333" i="1"/>
  <c r="F333" i="1"/>
  <c r="E333" i="1"/>
  <c r="D333" i="1"/>
  <c r="C333" i="1"/>
  <c r="B333" i="1"/>
  <c r="A333" i="1"/>
  <c r="J332" i="1"/>
  <c r="G332" i="1"/>
  <c r="F332" i="1"/>
  <c r="E332" i="1"/>
  <c r="D332" i="1"/>
  <c r="C332" i="1"/>
  <c r="B332" i="1"/>
  <c r="A332" i="1"/>
  <c r="J331" i="1"/>
  <c r="G331" i="1"/>
  <c r="F331" i="1"/>
  <c r="E331" i="1"/>
  <c r="D331" i="1"/>
  <c r="C331" i="1"/>
  <c r="B331" i="1"/>
  <c r="A331" i="1"/>
  <c r="J330" i="1"/>
  <c r="G330" i="1"/>
  <c r="F330" i="1"/>
  <c r="E330" i="1"/>
  <c r="D330" i="1"/>
  <c r="C330" i="1"/>
  <c r="B330" i="1"/>
  <c r="A330" i="1"/>
  <c r="J329" i="1"/>
  <c r="G329" i="1"/>
  <c r="F329" i="1"/>
  <c r="E329" i="1"/>
  <c r="D329" i="1"/>
  <c r="C329" i="1"/>
  <c r="B329" i="1"/>
  <c r="A329" i="1"/>
  <c r="J328" i="1"/>
  <c r="G328" i="1"/>
  <c r="F328" i="1"/>
  <c r="E328" i="1"/>
  <c r="D328" i="1"/>
  <c r="C328" i="1"/>
  <c r="B328" i="1"/>
  <c r="A328" i="1"/>
  <c r="J327" i="1"/>
  <c r="G327" i="1"/>
  <c r="F327" i="1"/>
  <c r="E327" i="1"/>
  <c r="D327" i="1"/>
  <c r="C327" i="1"/>
  <c r="B327" i="1"/>
  <c r="A327" i="1"/>
  <c r="J326" i="1"/>
  <c r="G326" i="1"/>
  <c r="F326" i="1"/>
  <c r="E326" i="1"/>
  <c r="D326" i="1"/>
  <c r="C326" i="1"/>
  <c r="B326" i="1"/>
  <c r="A326" i="1"/>
  <c r="J325" i="1"/>
  <c r="G325" i="1"/>
  <c r="F325" i="1"/>
  <c r="E325" i="1"/>
  <c r="D325" i="1"/>
  <c r="C325" i="1"/>
  <c r="B325" i="1"/>
  <c r="A325" i="1"/>
  <c r="J324" i="1"/>
  <c r="G324" i="1"/>
  <c r="F324" i="1"/>
  <c r="E324" i="1"/>
  <c r="D324" i="1"/>
  <c r="C324" i="1"/>
  <c r="B324" i="1"/>
  <c r="A324" i="1"/>
  <c r="J323" i="1"/>
  <c r="G323" i="1"/>
  <c r="F323" i="1"/>
  <c r="E323" i="1"/>
  <c r="D323" i="1"/>
  <c r="C323" i="1"/>
  <c r="B323" i="1"/>
  <c r="A323" i="1"/>
  <c r="J322" i="1"/>
  <c r="G322" i="1"/>
  <c r="F322" i="1"/>
  <c r="E322" i="1"/>
  <c r="D322" i="1"/>
  <c r="C322" i="1"/>
  <c r="B322" i="1"/>
  <c r="A322" i="1"/>
  <c r="J321" i="1"/>
  <c r="G321" i="1"/>
  <c r="F321" i="1"/>
  <c r="E321" i="1"/>
  <c r="D321" i="1"/>
  <c r="C321" i="1"/>
  <c r="B321" i="1"/>
  <c r="A321" i="1"/>
  <c r="J320" i="1"/>
  <c r="G320" i="1"/>
  <c r="F320" i="1"/>
  <c r="E320" i="1"/>
  <c r="D320" i="1"/>
  <c r="C320" i="1"/>
  <c r="B320" i="1"/>
  <c r="A320" i="1"/>
  <c r="J319" i="1"/>
  <c r="G319" i="1"/>
  <c r="F319" i="1"/>
  <c r="E319" i="1"/>
  <c r="D319" i="1"/>
  <c r="C319" i="1"/>
  <c r="B319" i="1"/>
  <c r="A319" i="1"/>
  <c r="J318" i="1"/>
  <c r="G318" i="1"/>
  <c r="F318" i="1"/>
  <c r="E318" i="1"/>
  <c r="D318" i="1"/>
  <c r="C318" i="1"/>
  <c r="B318" i="1"/>
  <c r="A318" i="1"/>
  <c r="J317" i="1"/>
  <c r="G317" i="1"/>
  <c r="F317" i="1"/>
  <c r="E317" i="1"/>
  <c r="D317" i="1"/>
  <c r="C317" i="1"/>
  <c r="B317" i="1"/>
  <c r="A317" i="1"/>
  <c r="J316" i="1"/>
  <c r="G316" i="1"/>
  <c r="F316" i="1"/>
  <c r="E316" i="1"/>
  <c r="D316" i="1"/>
  <c r="C316" i="1"/>
  <c r="B316" i="1"/>
  <c r="A316" i="1"/>
  <c r="J315" i="1"/>
  <c r="G315" i="1"/>
  <c r="F315" i="1"/>
  <c r="E315" i="1"/>
  <c r="D315" i="1"/>
  <c r="C315" i="1"/>
  <c r="B315" i="1"/>
  <c r="A315" i="1"/>
  <c r="J314" i="1"/>
  <c r="G314" i="1"/>
  <c r="F314" i="1"/>
  <c r="E314" i="1"/>
  <c r="D314" i="1"/>
  <c r="C314" i="1"/>
  <c r="B314" i="1"/>
  <c r="A314" i="1"/>
  <c r="J313" i="1"/>
  <c r="G313" i="1"/>
  <c r="F313" i="1"/>
  <c r="E313" i="1"/>
  <c r="D313" i="1"/>
  <c r="C313" i="1"/>
  <c r="B313" i="1"/>
  <c r="A313" i="1"/>
  <c r="J312" i="1"/>
  <c r="G312" i="1"/>
  <c r="F312" i="1"/>
  <c r="E312" i="1"/>
  <c r="D312" i="1"/>
  <c r="C312" i="1"/>
  <c r="B312" i="1"/>
  <c r="A312" i="1"/>
  <c r="J311" i="1"/>
  <c r="G311" i="1"/>
  <c r="F311" i="1"/>
  <c r="E311" i="1"/>
  <c r="D311" i="1"/>
  <c r="C311" i="1"/>
  <c r="B311" i="1"/>
  <c r="A311" i="1"/>
  <c r="J310" i="1"/>
  <c r="G310" i="1"/>
  <c r="F310" i="1"/>
  <c r="E310" i="1"/>
  <c r="D310" i="1"/>
  <c r="C310" i="1"/>
  <c r="B310" i="1"/>
  <c r="A310" i="1"/>
  <c r="J309" i="1"/>
  <c r="G309" i="1"/>
  <c r="F309" i="1"/>
  <c r="E309" i="1"/>
  <c r="D309" i="1"/>
  <c r="C309" i="1"/>
  <c r="B309" i="1"/>
  <c r="A309" i="1"/>
  <c r="J308" i="1"/>
  <c r="G308" i="1"/>
  <c r="F308" i="1"/>
  <c r="E308" i="1"/>
  <c r="D308" i="1"/>
  <c r="C308" i="1"/>
  <c r="B308" i="1"/>
  <c r="A308" i="1"/>
  <c r="J307" i="1"/>
  <c r="G307" i="1"/>
  <c r="F307" i="1"/>
  <c r="E307" i="1"/>
  <c r="D307" i="1"/>
  <c r="C307" i="1"/>
  <c r="B307" i="1"/>
  <c r="A307" i="1"/>
  <c r="J306" i="1"/>
  <c r="G306" i="1"/>
  <c r="F306" i="1"/>
  <c r="E306" i="1"/>
  <c r="D306" i="1"/>
  <c r="C306" i="1"/>
  <c r="B306" i="1"/>
  <c r="A306" i="1"/>
  <c r="J305" i="1"/>
  <c r="G305" i="1"/>
  <c r="F305" i="1"/>
  <c r="E305" i="1"/>
  <c r="D305" i="1"/>
  <c r="C305" i="1"/>
  <c r="B305" i="1"/>
  <c r="A305" i="1"/>
  <c r="J304" i="1"/>
  <c r="G304" i="1"/>
  <c r="F304" i="1"/>
  <c r="E304" i="1"/>
  <c r="D304" i="1"/>
  <c r="C304" i="1"/>
  <c r="B304" i="1"/>
  <c r="A304" i="1"/>
  <c r="J303" i="1"/>
  <c r="G303" i="1"/>
  <c r="F303" i="1"/>
  <c r="E303" i="1"/>
  <c r="D303" i="1"/>
  <c r="C303" i="1"/>
  <c r="B303" i="1"/>
  <c r="A303" i="1"/>
  <c r="J302" i="1"/>
  <c r="G302" i="1"/>
  <c r="F302" i="1"/>
  <c r="E302" i="1"/>
  <c r="D302" i="1"/>
  <c r="C302" i="1"/>
  <c r="B302" i="1"/>
  <c r="A302" i="1"/>
  <c r="J301" i="1"/>
  <c r="G301" i="1"/>
  <c r="F301" i="1"/>
  <c r="E301" i="1"/>
  <c r="D301" i="1"/>
  <c r="C301" i="1"/>
  <c r="B301" i="1"/>
  <c r="A301" i="1"/>
  <c r="J300" i="1"/>
  <c r="G300" i="1"/>
  <c r="F300" i="1"/>
  <c r="E300" i="1"/>
  <c r="D300" i="1"/>
  <c r="C300" i="1"/>
  <c r="B300" i="1"/>
  <c r="A300" i="1"/>
  <c r="J299" i="1"/>
  <c r="G299" i="1"/>
  <c r="F299" i="1"/>
  <c r="E299" i="1"/>
  <c r="D299" i="1"/>
  <c r="C299" i="1"/>
  <c r="B299" i="1"/>
  <c r="A299" i="1"/>
  <c r="J298" i="1"/>
  <c r="G298" i="1"/>
  <c r="F298" i="1"/>
  <c r="E298" i="1"/>
  <c r="D298" i="1"/>
  <c r="C298" i="1"/>
  <c r="B298" i="1"/>
  <c r="A298" i="1"/>
  <c r="J297" i="1"/>
  <c r="G297" i="1"/>
  <c r="F297" i="1"/>
  <c r="E297" i="1"/>
  <c r="D297" i="1"/>
  <c r="C297" i="1"/>
  <c r="B297" i="1"/>
  <c r="A297" i="1"/>
  <c r="J296" i="1"/>
  <c r="G296" i="1"/>
  <c r="F296" i="1"/>
  <c r="E296" i="1"/>
  <c r="D296" i="1"/>
  <c r="C296" i="1"/>
  <c r="B296" i="1"/>
  <c r="A296" i="1"/>
  <c r="J295" i="1"/>
  <c r="G295" i="1"/>
  <c r="F295" i="1"/>
  <c r="E295" i="1"/>
  <c r="D295" i="1"/>
  <c r="C295" i="1"/>
  <c r="B295" i="1"/>
  <c r="A295" i="1"/>
  <c r="J294" i="1"/>
  <c r="G294" i="1"/>
  <c r="F294" i="1"/>
  <c r="E294" i="1"/>
  <c r="D294" i="1"/>
  <c r="C294" i="1"/>
  <c r="B294" i="1"/>
  <c r="A294" i="1"/>
  <c r="J293" i="1"/>
  <c r="G293" i="1"/>
  <c r="F293" i="1"/>
  <c r="E293" i="1"/>
  <c r="D293" i="1"/>
  <c r="C293" i="1"/>
  <c r="B293" i="1"/>
  <c r="A293" i="1"/>
  <c r="J292" i="1"/>
  <c r="G292" i="1"/>
  <c r="F292" i="1"/>
  <c r="E292" i="1"/>
  <c r="D292" i="1"/>
  <c r="C292" i="1"/>
  <c r="B292" i="1"/>
  <c r="A292" i="1"/>
  <c r="J291" i="1"/>
  <c r="G291" i="1"/>
  <c r="F291" i="1"/>
  <c r="E291" i="1"/>
  <c r="D291" i="1"/>
  <c r="C291" i="1"/>
  <c r="B291" i="1"/>
  <c r="A291" i="1"/>
  <c r="J290" i="1"/>
  <c r="G290" i="1"/>
  <c r="F290" i="1"/>
  <c r="E290" i="1"/>
  <c r="D290" i="1"/>
  <c r="C290" i="1"/>
  <c r="B290" i="1"/>
  <c r="A290" i="1"/>
  <c r="J289" i="1"/>
  <c r="G289" i="1"/>
  <c r="F289" i="1"/>
  <c r="E289" i="1"/>
  <c r="D289" i="1"/>
  <c r="C289" i="1"/>
  <c r="B289" i="1"/>
  <c r="A289" i="1"/>
  <c r="J288" i="1"/>
  <c r="G288" i="1"/>
  <c r="F288" i="1"/>
  <c r="E288" i="1"/>
  <c r="D288" i="1"/>
  <c r="C288" i="1"/>
  <c r="B288" i="1"/>
  <c r="A288" i="1"/>
  <c r="J287" i="1"/>
  <c r="G287" i="1"/>
  <c r="F287" i="1"/>
  <c r="E287" i="1"/>
  <c r="D287" i="1"/>
  <c r="C287" i="1"/>
  <c r="B287" i="1"/>
  <c r="A287" i="1"/>
  <c r="J286" i="1"/>
  <c r="G286" i="1"/>
  <c r="F286" i="1"/>
  <c r="E286" i="1"/>
  <c r="D286" i="1"/>
  <c r="C286" i="1"/>
  <c r="B286" i="1"/>
  <c r="A286" i="1"/>
  <c r="J285" i="1"/>
  <c r="G285" i="1"/>
  <c r="F285" i="1"/>
  <c r="E285" i="1"/>
  <c r="D285" i="1"/>
  <c r="C285" i="1"/>
  <c r="B285" i="1"/>
  <c r="A285" i="1"/>
  <c r="J284" i="1"/>
  <c r="G284" i="1"/>
  <c r="F284" i="1"/>
  <c r="E284" i="1"/>
  <c r="D284" i="1"/>
  <c r="C284" i="1"/>
  <c r="B284" i="1"/>
  <c r="A284" i="1"/>
  <c r="J283" i="1"/>
  <c r="G283" i="1"/>
  <c r="F283" i="1"/>
  <c r="E283" i="1"/>
  <c r="D283" i="1"/>
  <c r="C283" i="1"/>
  <c r="B283" i="1"/>
  <c r="A283" i="1"/>
  <c r="J282" i="1"/>
  <c r="G282" i="1"/>
  <c r="F282" i="1"/>
  <c r="E282" i="1"/>
  <c r="D282" i="1"/>
  <c r="C282" i="1"/>
  <c r="B282" i="1"/>
  <c r="A282" i="1"/>
  <c r="J281" i="1"/>
  <c r="G281" i="1"/>
  <c r="F281" i="1"/>
  <c r="E281" i="1"/>
  <c r="D281" i="1"/>
  <c r="C281" i="1"/>
  <c r="B281" i="1"/>
  <c r="A281" i="1"/>
  <c r="J280" i="1"/>
  <c r="G280" i="1"/>
  <c r="F280" i="1"/>
  <c r="E280" i="1"/>
  <c r="D280" i="1"/>
  <c r="C280" i="1"/>
  <c r="B280" i="1"/>
  <c r="A280" i="1"/>
  <c r="J279" i="1"/>
  <c r="G279" i="1"/>
  <c r="F279" i="1"/>
  <c r="E279" i="1"/>
  <c r="D279" i="1"/>
  <c r="C279" i="1"/>
  <c r="B279" i="1"/>
  <c r="A279" i="1"/>
  <c r="J278" i="1"/>
  <c r="G278" i="1"/>
  <c r="F278" i="1"/>
  <c r="E278" i="1"/>
  <c r="D278" i="1"/>
  <c r="C278" i="1"/>
  <c r="B278" i="1"/>
  <c r="A278" i="1"/>
  <c r="J277" i="1"/>
  <c r="G277" i="1"/>
  <c r="F277" i="1"/>
  <c r="E277" i="1"/>
  <c r="D277" i="1"/>
  <c r="C277" i="1"/>
  <c r="B277" i="1"/>
  <c r="A277" i="1"/>
  <c r="J276" i="1"/>
  <c r="G276" i="1"/>
  <c r="F276" i="1"/>
  <c r="E276" i="1"/>
  <c r="D276" i="1"/>
  <c r="C276" i="1"/>
  <c r="B276" i="1"/>
  <c r="A276" i="1"/>
  <c r="J275" i="1"/>
  <c r="G275" i="1"/>
  <c r="F275" i="1"/>
  <c r="E275" i="1"/>
  <c r="D275" i="1"/>
  <c r="C275" i="1"/>
  <c r="B275" i="1"/>
  <c r="A275" i="1"/>
  <c r="J274" i="1"/>
  <c r="G274" i="1"/>
  <c r="F274" i="1"/>
  <c r="E274" i="1"/>
  <c r="D274" i="1"/>
  <c r="C274" i="1"/>
  <c r="B274" i="1"/>
  <c r="A274" i="1"/>
  <c r="J273" i="1"/>
  <c r="G273" i="1"/>
  <c r="F273" i="1"/>
  <c r="E273" i="1"/>
  <c r="D273" i="1"/>
  <c r="C273" i="1"/>
  <c r="B273" i="1"/>
  <c r="A273" i="1"/>
  <c r="J272" i="1"/>
  <c r="G272" i="1"/>
  <c r="F272" i="1"/>
  <c r="E272" i="1"/>
  <c r="D272" i="1"/>
  <c r="C272" i="1"/>
  <c r="B272" i="1"/>
  <c r="A272" i="1"/>
  <c r="J271" i="1"/>
  <c r="G271" i="1"/>
  <c r="F271" i="1"/>
  <c r="E271" i="1"/>
  <c r="D271" i="1"/>
  <c r="C271" i="1"/>
  <c r="B271" i="1"/>
  <c r="A271" i="1"/>
  <c r="J270" i="1"/>
  <c r="G270" i="1"/>
  <c r="F270" i="1"/>
  <c r="E270" i="1"/>
  <c r="D270" i="1"/>
  <c r="C270" i="1"/>
  <c r="B270" i="1"/>
  <c r="A270" i="1"/>
  <c r="J269" i="1"/>
  <c r="G269" i="1"/>
  <c r="F269" i="1"/>
  <c r="E269" i="1"/>
  <c r="D269" i="1"/>
  <c r="C269" i="1"/>
  <c r="B269" i="1"/>
  <c r="A269" i="1"/>
  <c r="J268" i="1"/>
  <c r="G268" i="1"/>
  <c r="F268" i="1"/>
  <c r="E268" i="1"/>
  <c r="D268" i="1"/>
  <c r="C268" i="1"/>
  <c r="B268" i="1"/>
  <c r="A268" i="1"/>
  <c r="J267" i="1"/>
  <c r="G267" i="1"/>
  <c r="F267" i="1"/>
  <c r="E267" i="1"/>
  <c r="D267" i="1"/>
  <c r="C267" i="1"/>
  <c r="B267" i="1"/>
  <c r="A267" i="1"/>
  <c r="J266" i="1"/>
  <c r="G266" i="1"/>
  <c r="F266" i="1"/>
  <c r="E266" i="1"/>
  <c r="D266" i="1"/>
  <c r="C266" i="1"/>
  <c r="B266" i="1"/>
  <c r="A266" i="1"/>
  <c r="J265" i="1"/>
  <c r="G265" i="1"/>
  <c r="F265" i="1"/>
  <c r="E265" i="1"/>
  <c r="D265" i="1"/>
  <c r="C265" i="1"/>
  <c r="B265" i="1"/>
  <c r="A265" i="1"/>
  <c r="J264" i="1"/>
  <c r="G264" i="1"/>
  <c r="F264" i="1"/>
  <c r="E264" i="1"/>
  <c r="D264" i="1"/>
  <c r="C264" i="1"/>
  <c r="B264" i="1"/>
  <c r="A264" i="1"/>
  <c r="J263" i="1"/>
  <c r="G263" i="1"/>
  <c r="F263" i="1"/>
  <c r="E263" i="1"/>
  <c r="D263" i="1"/>
  <c r="C263" i="1"/>
  <c r="B263" i="1"/>
  <c r="A263" i="1"/>
  <c r="J262" i="1"/>
  <c r="G262" i="1"/>
  <c r="F262" i="1"/>
  <c r="E262" i="1"/>
  <c r="D262" i="1"/>
  <c r="C262" i="1"/>
  <c r="B262" i="1"/>
  <c r="A262" i="1"/>
  <c r="J261" i="1"/>
  <c r="G261" i="1"/>
  <c r="F261" i="1"/>
  <c r="E261" i="1"/>
  <c r="D261" i="1"/>
  <c r="C261" i="1"/>
  <c r="B261" i="1"/>
  <c r="A261" i="1"/>
  <c r="J260" i="1"/>
  <c r="G260" i="1"/>
  <c r="F260" i="1"/>
  <c r="E260" i="1"/>
  <c r="D260" i="1"/>
  <c r="C260" i="1"/>
  <c r="B260" i="1"/>
  <c r="A260" i="1"/>
  <c r="J259" i="1"/>
  <c r="G259" i="1"/>
  <c r="F259" i="1"/>
  <c r="E259" i="1"/>
  <c r="D259" i="1"/>
  <c r="C259" i="1"/>
  <c r="B259" i="1"/>
  <c r="A259" i="1"/>
  <c r="J258" i="1"/>
  <c r="G258" i="1"/>
  <c r="F258" i="1"/>
  <c r="E258" i="1"/>
  <c r="D258" i="1"/>
  <c r="C258" i="1"/>
  <c r="B258" i="1"/>
  <c r="A258" i="1"/>
  <c r="J257" i="1"/>
  <c r="G257" i="1"/>
  <c r="F257" i="1"/>
  <c r="E257" i="1"/>
  <c r="D257" i="1"/>
  <c r="C257" i="1"/>
  <c r="B257" i="1"/>
  <c r="A257" i="1"/>
  <c r="J256" i="1"/>
  <c r="G256" i="1"/>
  <c r="F256" i="1"/>
  <c r="E256" i="1"/>
  <c r="D256" i="1"/>
  <c r="C256" i="1"/>
  <c r="B256" i="1"/>
  <c r="A256" i="1"/>
  <c r="J255" i="1"/>
  <c r="G255" i="1"/>
  <c r="F255" i="1"/>
  <c r="E255" i="1"/>
  <c r="D255" i="1"/>
  <c r="C255" i="1"/>
  <c r="B255" i="1"/>
  <c r="A255" i="1"/>
  <c r="J254" i="1"/>
  <c r="G254" i="1"/>
  <c r="F254" i="1"/>
  <c r="E254" i="1"/>
  <c r="D254" i="1"/>
  <c r="C254" i="1"/>
  <c r="B254" i="1"/>
  <c r="A254" i="1"/>
  <c r="J253" i="1"/>
  <c r="G253" i="1"/>
  <c r="F253" i="1"/>
  <c r="E253" i="1"/>
  <c r="D253" i="1"/>
  <c r="C253" i="1"/>
  <c r="B253" i="1"/>
  <c r="A253" i="1"/>
  <c r="J252" i="1"/>
  <c r="G252" i="1"/>
  <c r="F252" i="1"/>
  <c r="E252" i="1"/>
  <c r="D252" i="1"/>
  <c r="C252" i="1"/>
  <c r="B252" i="1"/>
  <c r="A252" i="1"/>
  <c r="J251" i="1"/>
  <c r="G251" i="1"/>
  <c r="F251" i="1"/>
  <c r="E251" i="1"/>
  <c r="D251" i="1"/>
  <c r="C251" i="1"/>
  <c r="B251" i="1"/>
  <c r="A251" i="1"/>
  <c r="J250" i="1"/>
  <c r="G250" i="1"/>
  <c r="F250" i="1"/>
  <c r="E250" i="1"/>
  <c r="D250" i="1"/>
  <c r="C250" i="1"/>
  <c r="B250" i="1"/>
  <c r="A250" i="1"/>
  <c r="J249" i="1"/>
  <c r="G249" i="1"/>
  <c r="F249" i="1"/>
  <c r="E249" i="1"/>
  <c r="D249" i="1"/>
  <c r="C249" i="1"/>
  <c r="B249" i="1"/>
  <c r="A249" i="1"/>
  <c r="J248" i="1"/>
  <c r="G248" i="1"/>
  <c r="F248" i="1"/>
  <c r="E248" i="1"/>
  <c r="D248" i="1"/>
  <c r="C248" i="1"/>
  <c r="B248" i="1"/>
  <c r="A248" i="1"/>
  <c r="J247" i="1"/>
  <c r="G247" i="1"/>
  <c r="F247" i="1"/>
  <c r="E247" i="1"/>
  <c r="D247" i="1"/>
  <c r="C247" i="1"/>
  <c r="B247" i="1"/>
  <c r="A247" i="1"/>
  <c r="J246" i="1"/>
  <c r="G246" i="1"/>
  <c r="F246" i="1"/>
  <c r="E246" i="1"/>
  <c r="D246" i="1"/>
  <c r="C246" i="1"/>
  <c r="B246" i="1"/>
  <c r="A246" i="1"/>
  <c r="J245" i="1"/>
  <c r="G245" i="1"/>
  <c r="F245" i="1"/>
  <c r="E245" i="1"/>
  <c r="D245" i="1"/>
  <c r="C245" i="1"/>
  <c r="B245" i="1"/>
  <c r="A245" i="1"/>
  <c r="J244" i="1"/>
  <c r="G244" i="1"/>
  <c r="F244" i="1"/>
  <c r="E244" i="1"/>
  <c r="D244" i="1"/>
  <c r="C244" i="1"/>
  <c r="B244" i="1"/>
  <c r="A244" i="1"/>
  <c r="J243" i="1"/>
  <c r="G243" i="1"/>
  <c r="F243" i="1"/>
  <c r="E243" i="1"/>
  <c r="D243" i="1"/>
  <c r="C243" i="1"/>
  <c r="B243" i="1"/>
  <c r="A243" i="1"/>
  <c r="J242" i="1"/>
  <c r="G242" i="1"/>
  <c r="F242" i="1"/>
  <c r="E242" i="1"/>
  <c r="D242" i="1"/>
  <c r="C242" i="1"/>
  <c r="B242" i="1"/>
  <c r="A242" i="1"/>
  <c r="J241" i="1"/>
  <c r="G241" i="1"/>
  <c r="F241" i="1"/>
  <c r="E241" i="1"/>
  <c r="D241" i="1"/>
  <c r="C241" i="1"/>
  <c r="B241" i="1"/>
  <c r="A241" i="1"/>
  <c r="J240" i="1"/>
  <c r="G240" i="1"/>
  <c r="F240" i="1"/>
  <c r="E240" i="1"/>
  <c r="D240" i="1"/>
  <c r="C240" i="1"/>
  <c r="B240" i="1"/>
  <c r="A240" i="1"/>
  <c r="J239" i="1"/>
  <c r="G239" i="1"/>
  <c r="F239" i="1"/>
  <c r="E239" i="1"/>
  <c r="D239" i="1"/>
  <c r="C239" i="1"/>
  <c r="B239" i="1"/>
  <c r="A239" i="1"/>
  <c r="J238" i="1"/>
  <c r="G238" i="1"/>
  <c r="F238" i="1"/>
  <c r="E238" i="1"/>
  <c r="D238" i="1"/>
  <c r="C238" i="1"/>
  <c r="B238" i="1"/>
  <c r="A238" i="1"/>
  <c r="J237" i="1"/>
  <c r="G237" i="1"/>
  <c r="F237" i="1"/>
  <c r="E237" i="1"/>
  <c r="D237" i="1"/>
  <c r="C237" i="1"/>
  <c r="B237" i="1"/>
  <c r="A237" i="1"/>
  <c r="J236" i="1"/>
  <c r="G236" i="1"/>
  <c r="F236" i="1"/>
  <c r="E236" i="1"/>
  <c r="D236" i="1"/>
  <c r="C236" i="1"/>
  <c r="B236" i="1"/>
  <c r="A236" i="1"/>
  <c r="J235" i="1"/>
  <c r="G235" i="1"/>
  <c r="F235" i="1"/>
  <c r="E235" i="1"/>
  <c r="D235" i="1"/>
  <c r="C235" i="1"/>
  <c r="B235" i="1"/>
  <c r="A235" i="1"/>
  <c r="J234" i="1"/>
  <c r="G234" i="1"/>
  <c r="F234" i="1"/>
  <c r="E234" i="1"/>
  <c r="D234" i="1"/>
  <c r="C234" i="1"/>
  <c r="B234" i="1"/>
  <c r="A234" i="1"/>
  <c r="J233" i="1"/>
  <c r="G233" i="1"/>
  <c r="F233" i="1"/>
  <c r="E233" i="1"/>
  <c r="D233" i="1"/>
  <c r="C233" i="1"/>
  <c r="B233" i="1"/>
  <c r="A233" i="1"/>
  <c r="J232" i="1"/>
  <c r="G232" i="1"/>
  <c r="F232" i="1"/>
  <c r="E232" i="1"/>
  <c r="D232" i="1"/>
  <c r="C232" i="1"/>
  <c r="B232" i="1"/>
  <c r="A232" i="1"/>
  <c r="J231" i="1"/>
  <c r="G231" i="1"/>
  <c r="F231" i="1"/>
  <c r="E231" i="1"/>
  <c r="D231" i="1"/>
  <c r="C231" i="1"/>
  <c r="B231" i="1"/>
  <c r="A231" i="1"/>
  <c r="J230" i="1"/>
  <c r="G230" i="1"/>
  <c r="F230" i="1"/>
  <c r="E230" i="1"/>
  <c r="D230" i="1"/>
  <c r="C230" i="1"/>
  <c r="B230" i="1"/>
  <c r="A230" i="1"/>
  <c r="J229" i="1"/>
  <c r="G229" i="1"/>
  <c r="F229" i="1"/>
  <c r="E229" i="1"/>
  <c r="D229" i="1"/>
  <c r="C229" i="1"/>
  <c r="B229" i="1"/>
  <c r="A229" i="1"/>
  <c r="J228" i="1"/>
  <c r="G228" i="1"/>
  <c r="F228" i="1"/>
  <c r="E228" i="1"/>
  <c r="D228" i="1"/>
  <c r="C228" i="1"/>
  <c r="B228" i="1"/>
  <c r="A228" i="1"/>
  <c r="J227" i="1"/>
  <c r="G227" i="1"/>
  <c r="F227" i="1"/>
  <c r="E227" i="1"/>
  <c r="D227" i="1"/>
  <c r="C227" i="1"/>
  <c r="B227" i="1"/>
  <c r="A227" i="1"/>
  <c r="J226" i="1"/>
  <c r="G226" i="1"/>
  <c r="F226" i="1"/>
  <c r="E226" i="1"/>
  <c r="D226" i="1"/>
  <c r="C226" i="1"/>
  <c r="B226" i="1"/>
  <c r="A226" i="1"/>
  <c r="J225" i="1"/>
  <c r="G225" i="1"/>
  <c r="F225" i="1"/>
  <c r="E225" i="1"/>
  <c r="D225" i="1"/>
  <c r="C225" i="1"/>
  <c r="B225" i="1"/>
  <c r="A225" i="1"/>
  <c r="J224" i="1"/>
  <c r="G224" i="1"/>
  <c r="F224" i="1"/>
  <c r="E224" i="1"/>
  <c r="D224" i="1"/>
  <c r="C224" i="1"/>
  <c r="B224" i="1"/>
  <c r="A224" i="1"/>
  <c r="J223" i="1"/>
  <c r="G223" i="1"/>
  <c r="F223" i="1"/>
  <c r="E223" i="1"/>
  <c r="D223" i="1"/>
  <c r="C223" i="1"/>
  <c r="B223" i="1"/>
  <c r="A223" i="1"/>
  <c r="J222" i="1"/>
  <c r="G222" i="1"/>
  <c r="F222" i="1"/>
  <c r="E222" i="1"/>
  <c r="D222" i="1"/>
  <c r="C222" i="1"/>
  <c r="B222" i="1"/>
  <c r="A222" i="1"/>
  <c r="J221" i="1"/>
  <c r="G221" i="1"/>
  <c r="F221" i="1"/>
  <c r="E221" i="1"/>
  <c r="D221" i="1"/>
  <c r="C221" i="1"/>
  <c r="B221" i="1"/>
  <c r="A221" i="1"/>
  <c r="J220" i="1"/>
  <c r="G220" i="1"/>
  <c r="F220" i="1"/>
  <c r="E220" i="1"/>
  <c r="D220" i="1"/>
  <c r="C220" i="1"/>
  <c r="B220" i="1"/>
  <c r="A220" i="1"/>
  <c r="J219" i="1"/>
  <c r="G219" i="1"/>
  <c r="F219" i="1"/>
  <c r="E219" i="1"/>
  <c r="D219" i="1"/>
  <c r="C219" i="1"/>
  <c r="B219" i="1"/>
  <c r="A219" i="1"/>
  <c r="J218" i="1"/>
  <c r="G218" i="1"/>
  <c r="F218" i="1"/>
  <c r="E218" i="1"/>
  <c r="D218" i="1"/>
  <c r="C218" i="1"/>
  <c r="B218" i="1"/>
  <c r="A218" i="1"/>
  <c r="J217" i="1"/>
  <c r="G217" i="1"/>
  <c r="F217" i="1"/>
  <c r="E217" i="1"/>
  <c r="D217" i="1"/>
  <c r="C217" i="1"/>
  <c r="B217" i="1"/>
  <c r="A217" i="1"/>
  <c r="J216" i="1"/>
  <c r="G216" i="1"/>
  <c r="F216" i="1"/>
  <c r="E216" i="1"/>
  <c r="D216" i="1"/>
  <c r="C216" i="1"/>
  <c r="B216" i="1"/>
  <c r="A216" i="1"/>
  <c r="J215" i="1"/>
  <c r="G215" i="1"/>
  <c r="F215" i="1"/>
  <c r="E215" i="1"/>
  <c r="D215" i="1"/>
  <c r="C215" i="1"/>
  <c r="B215" i="1"/>
  <c r="A215" i="1"/>
  <c r="J214" i="1"/>
  <c r="G214" i="1"/>
  <c r="F214" i="1"/>
  <c r="E214" i="1"/>
  <c r="D214" i="1"/>
  <c r="C214" i="1"/>
  <c r="B214" i="1"/>
  <c r="A214" i="1"/>
  <c r="J213" i="1"/>
  <c r="G213" i="1"/>
  <c r="F213" i="1"/>
  <c r="E213" i="1"/>
  <c r="D213" i="1"/>
  <c r="C213" i="1"/>
  <c r="B213" i="1"/>
  <c r="A213" i="1"/>
  <c r="J212" i="1"/>
  <c r="G212" i="1"/>
  <c r="F212" i="1"/>
  <c r="E212" i="1"/>
  <c r="D212" i="1"/>
  <c r="C212" i="1"/>
  <c r="B212" i="1"/>
  <c r="A212" i="1"/>
  <c r="J211" i="1"/>
  <c r="G211" i="1"/>
  <c r="F211" i="1"/>
  <c r="E211" i="1"/>
  <c r="D211" i="1"/>
  <c r="C211" i="1"/>
  <c r="B211" i="1"/>
  <c r="A211" i="1"/>
  <c r="J210" i="1"/>
  <c r="G210" i="1"/>
  <c r="F210" i="1"/>
  <c r="E210" i="1"/>
  <c r="D210" i="1"/>
  <c r="C210" i="1"/>
  <c r="B210" i="1"/>
  <c r="A210" i="1"/>
  <c r="J209" i="1"/>
  <c r="G209" i="1"/>
  <c r="F209" i="1"/>
  <c r="E209" i="1"/>
  <c r="D209" i="1"/>
  <c r="C209" i="1"/>
  <c r="B209" i="1"/>
  <c r="A209" i="1"/>
  <c r="J208" i="1"/>
  <c r="G208" i="1"/>
  <c r="F208" i="1"/>
  <c r="E208" i="1"/>
  <c r="D208" i="1"/>
  <c r="C208" i="1"/>
  <c r="B208" i="1"/>
  <c r="A208" i="1"/>
  <c r="J207" i="1"/>
  <c r="G207" i="1"/>
  <c r="F207" i="1"/>
  <c r="E207" i="1"/>
  <c r="D207" i="1"/>
  <c r="C207" i="1"/>
  <c r="B207" i="1"/>
  <c r="A207" i="1"/>
  <c r="J206" i="1"/>
  <c r="G206" i="1"/>
  <c r="F206" i="1"/>
  <c r="E206" i="1"/>
  <c r="D206" i="1"/>
  <c r="C206" i="1"/>
  <c r="B206" i="1"/>
  <c r="A206" i="1"/>
  <c r="J205" i="1"/>
  <c r="G205" i="1"/>
  <c r="F205" i="1"/>
  <c r="E205" i="1"/>
  <c r="D205" i="1"/>
  <c r="C205" i="1"/>
  <c r="B205" i="1"/>
  <c r="A205" i="1"/>
  <c r="J204" i="1"/>
  <c r="G204" i="1"/>
  <c r="F204" i="1"/>
  <c r="E204" i="1"/>
  <c r="D204" i="1"/>
  <c r="C204" i="1"/>
  <c r="B204" i="1"/>
  <c r="A204" i="1"/>
  <c r="J203" i="1"/>
  <c r="G203" i="1"/>
  <c r="F203" i="1"/>
  <c r="E203" i="1"/>
  <c r="D203" i="1"/>
  <c r="C203" i="1"/>
  <c r="B203" i="1"/>
  <c r="A203" i="1"/>
  <c r="J202" i="1"/>
  <c r="G202" i="1"/>
  <c r="F202" i="1"/>
  <c r="E202" i="1"/>
  <c r="D202" i="1"/>
  <c r="C202" i="1"/>
  <c r="B202" i="1"/>
  <c r="A202" i="1"/>
  <c r="J201" i="1"/>
  <c r="G201" i="1"/>
  <c r="F201" i="1"/>
  <c r="E201" i="1"/>
  <c r="D201" i="1"/>
  <c r="C201" i="1"/>
  <c r="B201" i="1"/>
  <c r="A201" i="1"/>
  <c r="J200" i="1"/>
  <c r="G200" i="1"/>
  <c r="F200" i="1"/>
  <c r="E200" i="1"/>
  <c r="D200" i="1"/>
  <c r="C200" i="1"/>
  <c r="B200" i="1"/>
  <c r="A200" i="1"/>
  <c r="J199" i="1"/>
  <c r="G199" i="1"/>
  <c r="F199" i="1"/>
  <c r="E199" i="1"/>
  <c r="D199" i="1"/>
  <c r="C199" i="1"/>
  <c r="B199" i="1"/>
  <c r="A199" i="1"/>
  <c r="J198" i="1"/>
  <c r="G198" i="1"/>
  <c r="F198" i="1"/>
  <c r="E198" i="1"/>
  <c r="D198" i="1"/>
  <c r="C198" i="1"/>
  <c r="B198" i="1"/>
  <c r="A198" i="1"/>
  <c r="J197" i="1"/>
  <c r="G197" i="1"/>
  <c r="F197" i="1"/>
  <c r="E197" i="1"/>
  <c r="D197" i="1"/>
  <c r="C197" i="1"/>
  <c r="B197" i="1"/>
  <c r="A197" i="1"/>
  <c r="J196" i="1"/>
  <c r="G196" i="1"/>
  <c r="F196" i="1"/>
  <c r="E196" i="1"/>
  <c r="D196" i="1"/>
  <c r="C196" i="1"/>
  <c r="B196" i="1"/>
  <c r="A196" i="1"/>
  <c r="J195" i="1"/>
  <c r="G195" i="1"/>
  <c r="F195" i="1"/>
  <c r="E195" i="1"/>
  <c r="D195" i="1"/>
  <c r="C195" i="1"/>
  <c r="B195" i="1"/>
  <c r="A195" i="1"/>
  <c r="J194" i="1"/>
  <c r="G194" i="1"/>
  <c r="F194" i="1"/>
  <c r="E194" i="1"/>
  <c r="D194" i="1"/>
  <c r="C194" i="1"/>
  <c r="B194" i="1"/>
  <c r="A194" i="1"/>
  <c r="J193" i="1"/>
  <c r="G193" i="1"/>
  <c r="F193" i="1"/>
  <c r="E193" i="1"/>
  <c r="D193" i="1"/>
  <c r="C193" i="1"/>
  <c r="B193" i="1"/>
  <c r="A193" i="1"/>
  <c r="J192" i="1"/>
  <c r="G192" i="1"/>
  <c r="F192" i="1"/>
  <c r="E192" i="1"/>
  <c r="D192" i="1"/>
  <c r="C192" i="1"/>
  <c r="B192" i="1"/>
  <c r="A192" i="1"/>
  <c r="J191" i="1"/>
  <c r="G191" i="1"/>
  <c r="F191" i="1"/>
  <c r="E191" i="1"/>
  <c r="D191" i="1"/>
  <c r="C191" i="1"/>
  <c r="B191" i="1"/>
  <c r="A191" i="1"/>
  <c r="J190" i="1"/>
  <c r="G190" i="1"/>
  <c r="F190" i="1"/>
  <c r="E190" i="1"/>
  <c r="D190" i="1"/>
  <c r="C190" i="1"/>
  <c r="B190" i="1"/>
  <c r="A190" i="1"/>
  <c r="J189" i="1"/>
  <c r="G189" i="1"/>
  <c r="F189" i="1"/>
  <c r="E189" i="1"/>
  <c r="D189" i="1"/>
  <c r="C189" i="1"/>
  <c r="B189" i="1"/>
  <c r="A189" i="1"/>
  <c r="J188" i="1"/>
  <c r="G188" i="1"/>
  <c r="F188" i="1"/>
  <c r="E188" i="1"/>
  <c r="D188" i="1"/>
  <c r="C188" i="1"/>
  <c r="B188" i="1"/>
  <c r="A188" i="1"/>
  <c r="J187" i="1"/>
  <c r="G187" i="1"/>
  <c r="F187" i="1"/>
  <c r="E187" i="1"/>
  <c r="D187" i="1"/>
  <c r="C187" i="1"/>
  <c r="B187" i="1"/>
  <c r="A187" i="1"/>
  <c r="J186" i="1"/>
  <c r="G186" i="1"/>
  <c r="F186" i="1"/>
  <c r="E186" i="1"/>
  <c r="D186" i="1"/>
  <c r="C186" i="1"/>
  <c r="B186" i="1"/>
  <c r="A186" i="1"/>
  <c r="J185" i="1"/>
  <c r="G185" i="1"/>
  <c r="F185" i="1"/>
  <c r="E185" i="1"/>
  <c r="D185" i="1"/>
  <c r="C185" i="1"/>
  <c r="B185" i="1"/>
  <c r="A185" i="1"/>
  <c r="J184" i="1"/>
  <c r="G184" i="1"/>
  <c r="F184" i="1"/>
  <c r="E184" i="1"/>
  <c r="D184" i="1"/>
  <c r="C184" i="1"/>
  <c r="B184" i="1"/>
  <c r="A184" i="1"/>
  <c r="J183" i="1"/>
  <c r="G183" i="1"/>
  <c r="F183" i="1"/>
  <c r="E183" i="1"/>
  <c r="D183" i="1"/>
  <c r="C183" i="1"/>
  <c r="B183" i="1"/>
  <c r="A183" i="1"/>
  <c r="J182" i="1"/>
  <c r="G182" i="1"/>
  <c r="F182" i="1"/>
  <c r="E182" i="1"/>
  <c r="D182" i="1"/>
  <c r="C182" i="1"/>
  <c r="B182" i="1"/>
  <c r="A182" i="1"/>
  <c r="J181" i="1"/>
  <c r="G181" i="1"/>
  <c r="F181" i="1"/>
  <c r="E181" i="1"/>
  <c r="D181" i="1"/>
  <c r="C181" i="1"/>
  <c r="B181" i="1"/>
  <c r="A181" i="1"/>
  <c r="J180" i="1"/>
  <c r="G180" i="1"/>
  <c r="F180" i="1"/>
  <c r="E180" i="1"/>
  <c r="D180" i="1"/>
  <c r="C180" i="1"/>
  <c r="B180" i="1"/>
  <c r="A180" i="1"/>
  <c r="J179" i="1"/>
  <c r="G179" i="1"/>
  <c r="F179" i="1"/>
  <c r="E179" i="1"/>
  <c r="D179" i="1"/>
  <c r="C179" i="1"/>
  <c r="B179" i="1"/>
  <c r="A179" i="1"/>
  <c r="J178" i="1"/>
  <c r="G178" i="1"/>
  <c r="F178" i="1"/>
  <c r="E178" i="1"/>
  <c r="D178" i="1"/>
  <c r="C178" i="1"/>
  <c r="B178" i="1"/>
  <c r="A178" i="1"/>
  <c r="J177" i="1"/>
  <c r="G177" i="1"/>
  <c r="F177" i="1"/>
  <c r="E177" i="1"/>
  <c r="D177" i="1"/>
  <c r="C177" i="1"/>
  <c r="B177" i="1"/>
  <c r="A177" i="1"/>
  <c r="J176" i="1"/>
  <c r="G176" i="1"/>
  <c r="F176" i="1"/>
  <c r="E176" i="1"/>
  <c r="D176" i="1"/>
  <c r="C176" i="1"/>
  <c r="B176" i="1"/>
  <c r="A176" i="1"/>
  <c r="J175" i="1"/>
  <c r="G175" i="1"/>
  <c r="F175" i="1"/>
  <c r="E175" i="1"/>
  <c r="D175" i="1"/>
  <c r="C175" i="1"/>
  <c r="B175" i="1"/>
  <c r="A175" i="1"/>
  <c r="J174" i="1"/>
  <c r="G174" i="1"/>
  <c r="F174" i="1"/>
  <c r="E174" i="1"/>
  <c r="D174" i="1"/>
  <c r="C174" i="1"/>
  <c r="B174" i="1"/>
  <c r="A174" i="1"/>
  <c r="J173" i="1"/>
  <c r="G173" i="1"/>
  <c r="F173" i="1"/>
  <c r="E173" i="1"/>
  <c r="D173" i="1"/>
  <c r="C173" i="1"/>
  <c r="B173" i="1"/>
  <c r="A173" i="1"/>
  <c r="J172" i="1"/>
  <c r="G172" i="1"/>
  <c r="F172" i="1"/>
  <c r="E172" i="1"/>
  <c r="D172" i="1"/>
  <c r="C172" i="1"/>
  <c r="B172" i="1"/>
  <c r="A172" i="1"/>
  <c r="J171" i="1"/>
  <c r="G171" i="1"/>
  <c r="F171" i="1"/>
  <c r="E171" i="1"/>
  <c r="D171" i="1"/>
  <c r="C171" i="1"/>
  <c r="B171" i="1"/>
  <c r="A171" i="1"/>
  <c r="J170" i="1"/>
  <c r="G170" i="1"/>
  <c r="F170" i="1"/>
  <c r="E170" i="1"/>
  <c r="D170" i="1"/>
  <c r="C170" i="1"/>
  <c r="B170" i="1"/>
  <c r="A170" i="1"/>
  <c r="J169" i="1"/>
  <c r="G169" i="1"/>
  <c r="F169" i="1"/>
  <c r="E169" i="1"/>
  <c r="D169" i="1"/>
  <c r="C169" i="1"/>
  <c r="B169" i="1"/>
  <c r="A169" i="1"/>
  <c r="J168" i="1"/>
  <c r="G168" i="1"/>
  <c r="F168" i="1"/>
  <c r="E168" i="1"/>
  <c r="D168" i="1"/>
  <c r="C168" i="1"/>
  <c r="B168" i="1"/>
  <c r="A168" i="1"/>
  <c r="J167" i="1"/>
  <c r="G167" i="1"/>
  <c r="F167" i="1"/>
  <c r="E167" i="1"/>
  <c r="D167" i="1"/>
  <c r="C167" i="1"/>
  <c r="B167" i="1"/>
  <c r="A167" i="1"/>
  <c r="J166" i="1"/>
  <c r="G166" i="1"/>
  <c r="F166" i="1"/>
  <c r="E166" i="1"/>
  <c r="D166" i="1"/>
  <c r="C166" i="1"/>
  <c r="B166" i="1"/>
  <c r="A166" i="1"/>
  <c r="J165" i="1"/>
  <c r="G165" i="1"/>
  <c r="F165" i="1"/>
  <c r="E165" i="1"/>
  <c r="D165" i="1"/>
  <c r="C165" i="1"/>
  <c r="B165" i="1"/>
  <c r="A165" i="1"/>
  <c r="J164" i="1"/>
  <c r="G164" i="1"/>
  <c r="F164" i="1"/>
  <c r="E164" i="1"/>
  <c r="D164" i="1"/>
  <c r="C164" i="1"/>
  <c r="B164" i="1"/>
  <c r="A164" i="1"/>
  <c r="J163" i="1"/>
  <c r="G163" i="1"/>
  <c r="F163" i="1"/>
  <c r="E163" i="1"/>
  <c r="D163" i="1"/>
  <c r="C163" i="1"/>
  <c r="B163" i="1"/>
  <c r="A163" i="1"/>
  <c r="J162" i="1"/>
  <c r="G162" i="1"/>
  <c r="F162" i="1"/>
  <c r="E162" i="1"/>
  <c r="D162" i="1"/>
  <c r="C162" i="1"/>
  <c r="B162" i="1"/>
  <c r="A162" i="1"/>
  <c r="J161" i="1"/>
  <c r="G161" i="1"/>
  <c r="F161" i="1"/>
  <c r="E161" i="1"/>
  <c r="D161" i="1"/>
  <c r="C161" i="1"/>
  <c r="B161" i="1"/>
  <c r="A161" i="1"/>
  <c r="J160" i="1"/>
  <c r="G160" i="1"/>
  <c r="F160" i="1"/>
  <c r="E160" i="1"/>
  <c r="D160" i="1"/>
  <c r="C160" i="1"/>
  <c r="B160" i="1"/>
  <c r="A160" i="1"/>
  <c r="J159" i="1"/>
  <c r="G159" i="1"/>
  <c r="F159" i="1"/>
  <c r="E159" i="1"/>
  <c r="D159" i="1"/>
  <c r="C159" i="1"/>
  <c r="B159" i="1"/>
  <c r="A159" i="1"/>
  <c r="J158" i="1"/>
  <c r="G158" i="1"/>
  <c r="F158" i="1"/>
  <c r="E158" i="1"/>
  <c r="D158" i="1"/>
  <c r="C158" i="1"/>
  <c r="B158" i="1"/>
  <c r="A158" i="1"/>
  <c r="J157" i="1"/>
  <c r="G157" i="1"/>
  <c r="F157" i="1"/>
  <c r="E157" i="1"/>
  <c r="D157" i="1"/>
  <c r="C157" i="1"/>
  <c r="B157" i="1"/>
  <c r="A157" i="1"/>
  <c r="J156" i="1"/>
  <c r="G156" i="1"/>
  <c r="F156" i="1"/>
  <c r="E156" i="1"/>
  <c r="D156" i="1"/>
  <c r="C156" i="1"/>
  <c r="B156" i="1"/>
  <c r="A156" i="1"/>
  <c r="J155" i="1"/>
  <c r="G155" i="1"/>
  <c r="F155" i="1"/>
  <c r="E155" i="1"/>
  <c r="D155" i="1"/>
  <c r="C155" i="1"/>
  <c r="B155" i="1"/>
  <c r="A155" i="1"/>
  <c r="J154" i="1"/>
  <c r="G154" i="1"/>
  <c r="F154" i="1"/>
  <c r="E154" i="1"/>
  <c r="D154" i="1"/>
  <c r="C154" i="1"/>
  <c r="B154" i="1"/>
  <c r="A154" i="1"/>
  <c r="J153" i="1"/>
  <c r="G153" i="1"/>
  <c r="F153" i="1"/>
  <c r="E153" i="1"/>
  <c r="D153" i="1"/>
  <c r="C153" i="1"/>
  <c r="B153" i="1"/>
  <c r="A153" i="1"/>
  <c r="J152" i="1"/>
  <c r="G152" i="1"/>
  <c r="F152" i="1"/>
  <c r="E152" i="1"/>
  <c r="D152" i="1"/>
  <c r="C152" i="1"/>
  <c r="B152" i="1"/>
  <c r="A152" i="1"/>
  <c r="J151" i="1"/>
  <c r="G151" i="1"/>
  <c r="F151" i="1"/>
  <c r="E151" i="1"/>
  <c r="D151" i="1"/>
  <c r="C151" i="1"/>
  <c r="B151" i="1"/>
  <c r="A151" i="1"/>
  <c r="J150" i="1"/>
  <c r="G150" i="1"/>
  <c r="F150" i="1"/>
  <c r="E150" i="1"/>
  <c r="D150" i="1"/>
  <c r="C150" i="1"/>
  <c r="B150" i="1"/>
  <c r="A150" i="1"/>
  <c r="J149" i="1"/>
  <c r="G149" i="1"/>
  <c r="F149" i="1"/>
  <c r="E149" i="1"/>
  <c r="D149" i="1"/>
  <c r="C149" i="1"/>
  <c r="B149" i="1"/>
  <c r="A149" i="1"/>
  <c r="J148" i="1"/>
  <c r="G148" i="1"/>
  <c r="F148" i="1"/>
  <c r="E148" i="1"/>
  <c r="D148" i="1"/>
  <c r="C148" i="1"/>
  <c r="B148" i="1"/>
  <c r="A148" i="1"/>
  <c r="J147" i="1"/>
  <c r="G147" i="1"/>
  <c r="F147" i="1"/>
  <c r="E147" i="1"/>
  <c r="D147" i="1"/>
  <c r="C147" i="1"/>
  <c r="B147" i="1"/>
  <c r="A147" i="1"/>
  <c r="J146" i="1"/>
  <c r="G146" i="1"/>
  <c r="F146" i="1"/>
  <c r="E146" i="1"/>
  <c r="D146" i="1"/>
  <c r="C146" i="1"/>
  <c r="B146" i="1"/>
  <c r="A146" i="1"/>
  <c r="J145" i="1"/>
  <c r="G145" i="1"/>
  <c r="F145" i="1"/>
  <c r="E145" i="1"/>
  <c r="D145" i="1"/>
  <c r="C145" i="1"/>
  <c r="B145" i="1"/>
  <c r="A145" i="1"/>
  <c r="J144" i="1"/>
  <c r="G144" i="1"/>
  <c r="F144" i="1"/>
  <c r="E144" i="1"/>
  <c r="D144" i="1"/>
  <c r="C144" i="1"/>
  <c r="B144" i="1"/>
  <c r="A144" i="1"/>
  <c r="J143" i="1"/>
  <c r="G143" i="1"/>
  <c r="F143" i="1"/>
  <c r="E143" i="1"/>
  <c r="D143" i="1"/>
  <c r="C143" i="1"/>
  <c r="B143" i="1"/>
  <c r="A143" i="1"/>
  <c r="J142" i="1"/>
  <c r="G142" i="1"/>
  <c r="F142" i="1"/>
  <c r="E142" i="1"/>
  <c r="D142" i="1"/>
  <c r="C142" i="1"/>
  <c r="B142" i="1"/>
  <c r="A142" i="1"/>
  <c r="J141" i="1"/>
  <c r="G141" i="1"/>
  <c r="F141" i="1"/>
  <c r="E141" i="1"/>
  <c r="D141" i="1"/>
  <c r="C141" i="1"/>
  <c r="B141" i="1"/>
  <c r="A141" i="1"/>
  <c r="J140" i="1"/>
  <c r="G140" i="1"/>
  <c r="F140" i="1"/>
  <c r="E140" i="1"/>
  <c r="D140" i="1"/>
  <c r="C140" i="1"/>
  <c r="B140" i="1"/>
  <c r="A140" i="1"/>
  <c r="J139" i="1"/>
  <c r="G139" i="1"/>
  <c r="F139" i="1"/>
  <c r="E139" i="1"/>
  <c r="D139" i="1"/>
  <c r="C139" i="1"/>
  <c r="B139" i="1"/>
  <c r="A139" i="1"/>
  <c r="J138" i="1"/>
  <c r="G138" i="1"/>
  <c r="F138" i="1"/>
  <c r="E138" i="1"/>
  <c r="D138" i="1"/>
  <c r="C138" i="1"/>
  <c r="B138" i="1"/>
  <c r="A138" i="1"/>
  <c r="J137" i="1"/>
  <c r="G137" i="1"/>
  <c r="F137" i="1"/>
  <c r="E137" i="1"/>
  <c r="D137" i="1"/>
  <c r="C137" i="1"/>
  <c r="B137" i="1"/>
  <c r="A137" i="1"/>
  <c r="J136" i="1"/>
  <c r="G136" i="1"/>
  <c r="F136" i="1"/>
  <c r="E136" i="1"/>
  <c r="D136" i="1"/>
  <c r="C136" i="1"/>
  <c r="B136" i="1"/>
  <c r="A136" i="1"/>
  <c r="J135" i="1"/>
  <c r="G135" i="1"/>
  <c r="F135" i="1"/>
  <c r="E135" i="1"/>
  <c r="D135" i="1"/>
  <c r="C135" i="1"/>
  <c r="B135" i="1"/>
  <c r="A135" i="1"/>
  <c r="J134" i="1"/>
  <c r="G134" i="1"/>
  <c r="F134" i="1"/>
  <c r="E134" i="1"/>
  <c r="D134" i="1"/>
  <c r="C134" i="1"/>
  <c r="B134" i="1"/>
  <c r="A134" i="1"/>
  <c r="J133" i="1"/>
  <c r="G133" i="1"/>
  <c r="F133" i="1"/>
  <c r="E133" i="1"/>
  <c r="D133" i="1"/>
  <c r="C133" i="1"/>
  <c r="B133" i="1"/>
  <c r="A133" i="1"/>
  <c r="J132" i="1"/>
  <c r="G132" i="1"/>
  <c r="F132" i="1"/>
  <c r="E132" i="1"/>
  <c r="D132" i="1"/>
  <c r="C132" i="1"/>
  <c r="B132" i="1"/>
  <c r="A132" i="1"/>
  <c r="J131" i="1"/>
  <c r="G131" i="1"/>
  <c r="F131" i="1"/>
  <c r="E131" i="1"/>
  <c r="D131" i="1"/>
  <c r="C131" i="1"/>
  <c r="B131" i="1"/>
  <c r="A131" i="1"/>
  <c r="J130" i="1"/>
  <c r="G130" i="1"/>
  <c r="F130" i="1"/>
  <c r="E130" i="1"/>
  <c r="D130" i="1"/>
  <c r="C130" i="1"/>
  <c r="B130" i="1"/>
  <c r="A130" i="1"/>
  <c r="J129" i="1"/>
  <c r="G129" i="1"/>
  <c r="F129" i="1"/>
  <c r="E129" i="1"/>
  <c r="D129" i="1"/>
  <c r="C129" i="1"/>
  <c r="B129" i="1"/>
  <c r="A129" i="1"/>
  <c r="J128" i="1"/>
  <c r="G128" i="1"/>
  <c r="F128" i="1"/>
  <c r="E128" i="1"/>
  <c r="D128" i="1"/>
  <c r="C128" i="1"/>
  <c r="B128" i="1"/>
  <c r="A128" i="1"/>
  <c r="J127" i="1"/>
  <c r="G127" i="1"/>
  <c r="F127" i="1"/>
  <c r="E127" i="1"/>
  <c r="D127" i="1"/>
  <c r="C127" i="1"/>
  <c r="B127" i="1"/>
  <c r="A127" i="1"/>
  <c r="J126" i="1"/>
  <c r="G126" i="1"/>
  <c r="F126" i="1"/>
  <c r="E126" i="1"/>
  <c r="D126" i="1"/>
  <c r="C126" i="1"/>
  <c r="B126" i="1"/>
  <c r="A126" i="1"/>
  <c r="J125" i="1"/>
  <c r="G125" i="1"/>
  <c r="F125" i="1"/>
  <c r="E125" i="1"/>
  <c r="D125" i="1"/>
  <c r="C125" i="1"/>
  <c r="B125" i="1"/>
  <c r="A125" i="1"/>
  <c r="J124" i="1"/>
  <c r="G124" i="1"/>
  <c r="F124" i="1"/>
  <c r="E124" i="1"/>
  <c r="D124" i="1"/>
  <c r="C124" i="1"/>
  <c r="B124" i="1"/>
  <c r="A124" i="1"/>
  <c r="J123" i="1"/>
  <c r="G123" i="1"/>
  <c r="F123" i="1"/>
  <c r="E123" i="1"/>
  <c r="D123" i="1"/>
  <c r="C123" i="1"/>
  <c r="B123" i="1"/>
  <c r="A123" i="1"/>
  <c r="J122" i="1"/>
  <c r="G122" i="1"/>
  <c r="F122" i="1"/>
  <c r="E122" i="1"/>
  <c r="D122" i="1"/>
  <c r="C122" i="1"/>
  <c r="B122" i="1"/>
  <c r="A122" i="1"/>
  <c r="J121" i="1"/>
  <c r="G121" i="1"/>
  <c r="F121" i="1"/>
  <c r="E121" i="1"/>
  <c r="D121" i="1"/>
  <c r="C121" i="1"/>
  <c r="B121" i="1"/>
  <c r="A121" i="1"/>
  <c r="J120" i="1"/>
  <c r="G120" i="1"/>
  <c r="F120" i="1"/>
  <c r="E120" i="1"/>
  <c r="D120" i="1"/>
  <c r="C120" i="1"/>
  <c r="B120" i="1"/>
  <c r="A120" i="1"/>
  <c r="J119" i="1"/>
  <c r="G119" i="1"/>
  <c r="F119" i="1"/>
  <c r="E119" i="1"/>
  <c r="C119" i="1"/>
  <c r="B119" i="1"/>
  <c r="A119" i="1"/>
  <c r="J118" i="1"/>
  <c r="G118" i="1"/>
  <c r="F118" i="1"/>
  <c r="E118" i="1"/>
  <c r="D118" i="1"/>
  <c r="C118" i="1"/>
  <c r="B118" i="1"/>
  <c r="A118" i="1"/>
  <c r="J117" i="1"/>
  <c r="G117" i="1"/>
  <c r="F117" i="1"/>
  <c r="E117" i="1"/>
  <c r="D117" i="1"/>
  <c r="C117" i="1"/>
  <c r="B117" i="1"/>
  <c r="A117" i="1"/>
  <c r="J116" i="1"/>
  <c r="G116" i="1"/>
  <c r="F116" i="1"/>
  <c r="E116" i="1"/>
  <c r="D116" i="1"/>
  <c r="C116" i="1"/>
  <c r="B116" i="1"/>
  <c r="A116" i="1"/>
  <c r="J115" i="1"/>
  <c r="G115" i="1"/>
  <c r="F115" i="1"/>
  <c r="E115" i="1"/>
  <c r="D115" i="1"/>
  <c r="C115" i="1"/>
  <c r="B115" i="1"/>
  <c r="A115" i="1"/>
  <c r="J114" i="1"/>
  <c r="G114" i="1"/>
  <c r="F114" i="1"/>
  <c r="E114" i="1"/>
  <c r="D114" i="1"/>
  <c r="C114" i="1"/>
  <c r="B114" i="1"/>
  <c r="A114" i="1"/>
  <c r="J113" i="1"/>
  <c r="G113" i="1"/>
  <c r="F113" i="1"/>
  <c r="E113" i="1"/>
  <c r="D113" i="1"/>
  <c r="C113" i="1"/>
  <c r="B113" i="1"/>
  <c r="A113" i="1"/>
  <c r="J112" i="1"/>
  <c r="G112" i="1"/>
  <c r="F112" i="1"/>
  <c r="E112" i="1"/>
  <c r="D112" i="1"/>
  <c r="C112" i="1"/>
  <c r="B112" i="1"/>
  <c r="A112" i="1"/>
  <c r="J111" i="1"/>
  <c r="G111" i="1"/>
  <c r="F111" i="1"/>
  <c r="E111" i="1"/>
  <c r="D111" i="1"/>
  <c r="C111" i="1"/>
  <c r="B111" i="1"/>
  <c r="A111" i="1"/>
  <c r="J110" i="1"/>
  <c r="G110" i="1"/>
  <c r="F110" i="1"/>
  <c r="E110" i="1"/>
  <c r="D110" i="1"/>
  <c r="C110" i="1"/>
  <c r="B110" i="1"/>
  <c r="A110" i="1"/>
  <c r="J109" i="1"/>
  <c r="G109" i="1"/>
  <c r="F109" i="1"/>
  <c r="E109" i="1"/>
  <c r="D109" i="1"/>
  <c r="C109" i="1"/>
  <c r="B109" i="1"/>
  <c r="A109" i="1"/>
  <c r="J108" i="1"/>
  <c r="G108" i="1"/>
  <c r="F108" i="1"/>
  <c r="E108" i="1"/>
  <c r="D108" i="1"/>
  <c r="C108" i="1"/>
  <c r="B108" i="1"/>
  <c r="A108" i="1"/>
  <c r="J107" i="1"/>
  <c r="G107" i="1"/>
  <c r="F107" i="1"/>
  <c r="E107" i="1"/>
  <c r="D107" i="1"/>
  <c r="C107" i="1"/>
  <c r="B107" i="1"/>
  <c r="A107" i="1"/>
  <c r="J106" i="1"/>
  <c r="G106" i="1"/>
  <c r="F106" i="1"/>
  <c r="E106" i="1"/>
  <c r="D106" i="1"/>
  <c r="C106" i="1"/>
  <c r="B106" i="1"/>
  <c r="A106" i="1"/>
  <c r="J105" i="1"/>
  <c r="G105" i="1"/>
  <c r="F105" i="1"/>
  <c r="E105" i="1"/>
  <c r="D105" i="1"/>
  <c r="C105" i="1"/>
  <c r="B105" i="1"/>
  <c r="A105" i="1"/>
  <c r="J104" i="1"/>
  <c r="G104" i="1"/>
  <c r="F104" i="1"/>
  <c r="E104" i="1"/>
  <c r="D104" i="1"/>
  <c r="C104" i="1"/>
  <c r="B104" i="1"/>
  <c r="A104" i="1"/>
  <c r="J103" i="1"/>
  <c r="G103" i="1"/>
  <c r="F103" i="1"/>
  <c r="E103" i="1"/>
  <c r="D103" i="1"/>
  <c r="C103" i="1"/>
  <c r="B103" i="1"/>
  <c r="A103" i="1"/>
  <c r="J102" i="1"/>
  <c r="G102" i="1"/>
  <c r="F102" i="1"/>
  <c r="E102" i="1"/>
  <c r="D102" i="1"/>
  <c r="C102" i="1"/>
  <c r="B102" i="1"/>
  <c r="A102" i="1"/>
  <c r="J101" i="1"/>
  <c r="G101" i="1"/>
  <c r="F101" i="1"/>
  <c r="E101" i="1"/>
  <c r="D101" i="1"/>
  <c r="C101" i="1"/>
  <c r="B101" i="1"/>
  <c r="A101" i="1"/>
  <c r="J100" i="1"/>
  <c r="G100" i="1"/>
  <c r="F100" i="1"/>
  <c r="E100" i="1"/>
  <c r="D100" i="1"/>
  <c r="C100" i="1"/>
  <c r="B100" i="1"/>
  <c r="A100" i="1"/>
  <c r="J99" i="1"/>
  <c r="G99" i="1"/>
  <c r="F99" i="1"/>
  <c r="E99" i="1"/>
  <c r="D99" i="1"/>
  <c r="C99" i="1"/>
  <c r="B99" i="1"/>
  <c r="A99" i="1"/>
  <c r="J98" i="1"/>
  <c r="G98" i="1"/>
  <c r="F98" i="1"/>
  <c r="E98" i="1"/>
  <c r="D98" i="1"/>
  <c r="C98" i="1"/>
  <c r="B98" i="1"/>
  <c r="A98" i="1"/>
  <c r="J97" i="1"/>
  <c r="G97" i="1"/>
  <c r="F97" i="1"/>
  <c r="E97" i="1"/>
  <c r="D97" i="1"/>
  <c r="C97" i="1"/>
  <c r="B97" i="1"/>
  <c r="A97" i="1"/>
  <c r="J96" i="1"/>
  <c r="G96" i="1"/>
  <c r="F96" i="1"/>
  <c r="E96" i="1"/>
  <c r="D96" i="1"/>
  <c r="C96" i="1"/>
  <c r="B96" i="1"/>
  <c r="A96" i="1"/>
  <c r="J95" i="1"/>
  <c r="G95" i="1"/>
  <c r="F95" i="1"/>
  <c r="E95" i="1"/>
  <c r="D95" i="1"/>
  <c r="C95" i="1"/>
  <c r="B95" i="1"/>
  <c r="A95" i="1"/>
  <c r="J94" i="1"/>
  <c r="G94" i="1"/>
  <c r="F94" i="1"/>
  <c r="E94" i="1"/>
  <c r="D94" i="1"/>
  <c r="C94" i="1"/>
  <c r="B94" i="1"/>
  <c r="A94" i="1"/>
  <c r="J93" i="1"/>
  <c r="G93" i="1"/>
  <c r="F93" i="1"/>
  <c r="E93" i="1"/>
  <c r="D93" i="1"/>
  <c r="C93" i="1"/>
  <c r="B93" i="1"/>
  <c r="A93" i="1"/>
  <c r="J92" i="1"/>
  <c r="G92" i="1"/>
  <c r="F92" i="1"/>
  <c r="E92" i="1"/>
  <c r="D92" i="1"/>
  <c r="C92" i="1"/>
  <c r="B92" i="1"/>
  <c r="A92" i="1"/>
  <c r="J91" i="1"/>
  <c r="G91" i="1"/>
  <c r="F91" i="1"/>
  <c r="E91" i="1"/>
  <c r="D91" i="1"/>
  <c r="C91" i="1"/>
  <c r="B91" i="1"/>
  <c r="A91" i="1"/>
  <c r="J90" i="1"/>
  <c r="G90" i="1"/>
  <c r="F90" i="1"/>
  <c r="E90" i="1"/>
  <c r="D90" i="1"/>
  <c r="C90" i="1"/>
  <c r="B90" i="1"/>
  <c r="A90" i="1"/>
  <c r="J89" i="1"/>
  <c r="G89" i="1"/>
  <c r="F89" i="1"/>
  <c r="E89" i="1"/>
  <c r="D89" i="1"/>
  <c r="C89" i="1"/>
  <c r="B89" i="1"/>
  <c r="A89" i="1"/>
  <c r="J88" i="1"/>
  <c r="G88" i="1"/>
  <c r="F88" i="1"/>
  <c r="E88" i="1"/>
  <c r="D88" i="1"/>
  <c r="C88" i="1"/>
  <c r="B88" i="1"/>
  <c r="A88" i="1"/>
  <c r="J87" i="1"/>
  <c r="G87" i="1"/>
  <c r="F87" i="1"/>
  <c r="E87" i="1"/>
  <c r="D87" i="1"/>
  <c r="C87" i="1"/>
  <c r="B87" i="1"/>
  <c r="A87" i="1"/>
  <c r="J86" i="1"/>
  <c r="G86" i="1"/>
  <c r="F86" i="1"/>
  <c r="E86" i="1"/>
  <c r="D86" i="1"/>
  <c r="C86" i="1"/>
  <c r="B86" i="1"/>
  <c r="A86" i="1"/>
  <c r="J85" i="1"/>
  <c r="G85" i="1"/>
  <c r="F85" i="1"/>
  <c r="E85" i="1"/>
  <c r="D85" i="1"/>
  <c r="C85" i="1"/>
  <c r="B85" i="1"/>
  <c r="A85" i="1"/>
  <c r="J84" i="1"/>
  <c r="G84" i="1"/>
  <c r="F84" i="1"/>
  <c r="E84" i="1"/>
  <c r="D84" i="1"/>
  <c r="C84" i="1"/>
  <c r="B84" i="1"/>
  <c r="A84" i="1"/>
  <c r="J83" i="1"/>
  <c r="G83" i="1"/>
  <c r="F83" i="1"/>
  <c r="E83" i="1"/>
  <c r="D83" i="1"/>
  <c r="C83" i="1"/>
  <c r="B83" i="1"/>
  <c r="A83" i="1"/>
  <c r="J82" i="1"/>
  <c r="G82" i="1"/>
  <c r="F82" i="1"/>
  <c r="E82" i="1"/>
  <c r="D82" i="1"/>
  <c r="C82" i="1"/>
  <c r="B82" i="1"/>
  <c r="A82" i="1"/>
  <c r="J81" i="1"/>
  <c r="G81" i="1"/>
  <c r="F81" i="1"/>
  <c r="E81" i="1"/>
  <c r="D81" i="1"/>
  <c r="C81" i="1"/>
  <c r="B81" i="1"/>
  <c r="A81" i="1"/>
  <c r="J80" i="1"/>
  <c r="G80" i="1"/>
  <c r="F80" i="1"/>
  <c r="E80" i="1"/>
  <c r="D80" i="1"/>
  <c r="C80" i="1"/>
  <c r="B80" i="1"/>
  <c r="A80" i="1"/>
  <c r="J79" i="1"/>
  <c r="G79" i="1"/>
  <c r="F79" i="1"/>
  <c r="E79" i="1"/>
  <c r="D79" i="1"/>
  <c r="C79" i="1"/>
  <c r="B79" i="1"/>
  <c r="A79" i="1"/>
  <c r="J78" i="1"/>
  <c r="G78" i="1"/>
  <c r="F78" i="1"/>
  <c r="E78" i="1"/>
  <c r="D78" i="1"/>
  <c r="C78" i="1"/>
  <c r="B78" i="1"/>
  <c r="A78" i="1"/>
  <c r="J77" i="1"/>
  <c r="G77" i="1"/>
  <c r="F77" i="1"/>
  <c r="E77" i="1"/>
  <c r="D77" i="1"/>
  <c r="C77" i="1"/>
  <c r="B77" i="1"/>
  <c r="A77" i="1"/>
  <c r="J76" i="1"/>
  <c r="G76" i="1"/>
  <c r="F76" i="1"/>
  <c r="E76" i="1"/>
  <c r="D76" i="1"/>
  <c r="C76" i="1"/>
  <c r="B76" i="1"/>
  <c r="A76" i="1"/>
  <c r="J75" i="1"/>
  <c r="G75" i="1"/>
  <c r="F75" i="1"/>
  <c r="E75" i="1"/>
  <c r="D75" i="1"/>
  <c r="C75" i="1"/>
  <c r="B75" i="1"/>
  <c r="A75" i="1"/>
  <c r="J74" i="1"/>
  <c r="G74" i="1"/>
  <c r="F74" i="1"/>
  <c r="E74" i="1"/>
  <c r="D74" i="1"/>
  <c r="C74" i="1"/>
  <c r="B74" i="1"/>
  <c r="A74" i="1"/>
  <c r="J73" i="1"/>
  <c r="G73" i="1"/>
  <c r="F73" i="1"/>
  <c r="E73" i="1"/>
  <c r="D73" i="1"/>
  <c r="C73" i="1"/>
  <c r="B73" i="1"/>
  <c r="A73" i="1"/>
  <c r="J72" i="1"/>
  <c r="G72" i="1"/>
  <c r="F72" i="1"/>
  <c r="E72" i="1"/>
  <c r="D72" i="1"/>
  <c r="C72" i="1"/>
  <c r="B72" i="1"/>
  <c r="A72" i="1"/>
  <c r="J71" i="1"/>
  <c r="G71" i="1"/>
  <c r="F71" i="1"/>
  <c r="E71" i="1"/>
  <c r="D71" i="1"/>
  <c r="C71" i="1"/>
  <c r="B71" i="1"/>
  <c r="A71" i="1"/>
  <c r="J70" i="1"/>
  <c r="G70" i="1"/>
  <c r="F70" i="1"/>
  <c r="E70" i="1"/>
  <c r="D70" i="1"/>
  <c r="C70" i="1"/>
  <c r="B70" i="1"/>
  <c r="A70" i="1"/>
  <c r="J69" i="1"/>
  <c r="G69" i="1"/>
  <c r="F69" i="1"/>
  <c r="E69" i="1"/>
  <c r="D69" i="1"/>
  <c r="C69" i="1"/>
  <c r="B69" i="1"/>
  <c r="A69" i="1"/>
  <c r="J68" i="1"/>
  <c r="G68" i="1"/>
  <c r="F68" i="1"/>
  <c r="E68" i="1"/>
  <c r="D68" i="1"/>
  <c r="C68" i="1"/>
  <c r="B68" i="1"/>
  <c r="A68" i="1"/>
  <c r="J67" i="1"/>
  <c r="G67" i="1"/>
  <c r="F67" i="1"/>
  <c r="E67" i="1"/>
  <c r="D67" i="1"/>
  <c r="C67" i="1"/>
  <c r="B67" i="1"/>
  <c r="A67" i="1"/>
  <c r="J66" i="1"/>
  <c r="G66" i="1"/>
  <c r="F66" i="1"/>
  <c r="E66" i="1"/>
  <c r="D66" i="1"/>
  <c r="C66" i="1"/>
  <c r="B66" i="1"/>
  <c r="A66" i="1"/>
  <c r="J65" i="1"/>
  <c r="G65" i="1"/>
  <c r="F65" i="1"/>
  <c r="E65" i="1"/>
  <c r="D65" i="1"/>
  <c r="C65" i="1"/>
  <c r="B65" i="1"/>
  <c r="A65" i="1"/>
  <c r="J64" i="1"/>
  <c r="G64" i="1"/>
  <c r="F64" i="1"/>
  <c r="E64" i="1"/>
  <c r="D64" i="1"/>
  <c r="C64" i="1"/>
  <c r="B64" i="1"/>
  <c r="A64" i="1"/>
  <c r="J63" i="1"/>
  <c r="G63" i="1"/>
  <c r="F63" i="1"/>
  <c r="E63" i="1"/>
  <c r="D63" i="1"/>
  <c r="C63" i="1"/>
  <c r="B63" i="1"/>
  <c r="A63" i="1"/>
  <c r="J62" i="1"/>
  <c r="G62" i="1"/>
  <c r="F62" i="1"/>
  <c r="E62" i="1"/>
  <c r="D62" i="1"/>
  <c r="C62" i="1"/>
  <c r="B62" i="1"/>
  <c r="A62" i="1"/>
  <c r="J61" i="1"/>
  <c r="G61" i="1"/>
  <c r="F61" i="1"/>
  <c r="E61" i="1"/>
  <c r="D61" i="1"/>
  <c r="C61" i="1"/>
  <c r="B61" i="1"/>
  <c r="A61" i="1"/>
  <c r="J60" i="1"/>
  <c r="G60" i="1"/>
  <c r="F60" i="1"/>
  <c r="E60" i="1"/>
  <c r="D60" i="1"/>
  <c r="C60" i="1"/>
  <c r="B60" i="1"/>
  <c r="A60" i="1"/>
  <c r="J59" i="1"/>
  <c r="G59" i="1"/>
  <c r="F59" i="1"/>
  <c r="E59" i="1"/>
  <c r="D59" i="1"/>
  <c r="C59" i="1"/>
  <c r="B59" i="1"/>
  <c r="A59" i="1"/>
  <c r="J58" i="1"/>
  <c r="G58" i="1"/>
  <c r="F58" i="1"/>
  <c r="E58" i="1"/>
  <c r="D58" i="1"/>
  <c r="C58" i="1"/>
  <c r="B58" i="1"/>
  <c r="A58" i="1"/>
  <c r="J57" i="1"/>
  <c r="G57" i="1"/>
  <c r="F57" i="1"/>
  <c r="E57" i="1"/>
  <c r="D57" i="1"/>
  <c r="C57" i="1"/>
  <c r="B57" i="1"/>
  <c r="A57" i="1"/>
  <c r="J56" i="1"/>
  <c r="G56" i="1"/>
  <c r="F56" i="1"/>
  <c r="E56" i="1"/>
  <c r="D56" i="1"/>
  <c r="C56" i="1"/>
  <c r="B56" i="1"/>
  <c r="A56" i="1"/>
  <c r="J55" i="1"/>
  <c r="G55" i="1"/>
  <c r="F55" i="1"/>
  <c r="E55" i="1"/>
  <c r="D55" i="1"/>
  <c r="C55" i="1"/>
  <c r="B55" i="1"/>
  <c r="A55" i="1"/>
  <c r="J54" i="1"/>
  <c r="G54" i="1"/>
  <c r="F54" i="1"/>
  <c r="E54" i="1"/>
  <c r="D54" i="1"/>
  <c r="C54" i="1"/>
  <c r="B54" i="1"/>
  <c r="A54" i="1"/>
  <c r="J53" i="1"/>
  <c r="G53" i="1"/>
  <c r="F53" i="1"/>
  <c r="E53" i="1"/>
  <c r="D53" i="1"/>
  <c r="C53" i="1"/>
  <c r="B53" i="1"/>
  <c r="A53" i="1"/>
  <c r="J52" i="1"/>
  <c r="G52" i="1"/>
  <c r="F52" i="1"/>
  <c r="E52" i="1"/>
  <c r="D52" i="1"/>
  <c r="C52" i="1"/>
  <c r="B52" i="1"/>
  <c r="A52" i="1"/>
  <c r="J51" i="1"/>
  <c r="G51" i="1"/>
  <c r="F51" i="1"/>
  <c r="E51" i="1"/>
  <c r="D51" i="1"/>
  <c r="C51" i="1"/>
  <c r="B51" i="1"/>
  <c r="A51" i="1"/>
  <c r="J50" i="1"/>
  <c r="G50" i="1"/>
  <c r="F50" i="1"/>
  <c r="E50" i="1"/>
  <c r="D50" i="1"/>
  <c r="C50" i="1"/>
  <c r="B50" i="1"/>
  <c r="A50" i="1"/>
  <c r="J49" i="1"/>
  <c r="G49" i="1"/>
  <c r="F49" i="1"/>
  <c r="E49" i="1"/>
  <c r="D49" i="1"/>
  <c r="C49" i="1"/>
  <c r="B49" i="1"/>
  <c r="A49" i="1"/>
  <c r="J48" i="1"/>
  <c r="G48" i="1"/>
  <c r="F48" i="1"/>
  <c r="E48" i="1"/>
  <c r="D48" i="1"/>
  <c r="C48" i="1"/>
  <c r="B48" i="1"/>
  <c r="A48" i="1"/>
  <c r="J47" i="1"/>
  <c r="G47" i="1"/>
  <c r="F47" i="1"/>
  <c r="E47" i="1"/>
  <c r="D47" i="1"/>
  <c r="C47" i="1"/>
  <c r="B47" i="1"/>
  <c r="A47" i="1"/>
  <c r="J46" i="1"/>
  <c r="G46" i="1"/>
  <c r="F46" i="1"/>
  <c r="E46" i="1"/>
  <c r="D46" i="1"/>
  <c r="C46" i="1"/>
  <c r="B46" i="1"/>
  <c r="A46" i="1"/>
  <c r="J45" i="1"/>
  <c r="G45" i="1"/>
  <c r="F45" i="1"/>
  <c r="E45" i="1"/>
  <c r="D45" i="1"/>
  <c r="C45" i="1"/>
  <c r="B45" i="1"/>
  <c r="A45" i="1"/>
  <c r="J44" i="1"/>
  <c r="G44" i="1"/>
  <c r="F44" i="1"/>
  <c r="E44" i="1"/>
  <c r="D44" i="1"/>
  <c r="C44" i="1"/>
  <c r="B44" i="1"/>
  <c r="A44" i="1"/>
  <c r="J43" i="1"/>
  <c r="G43" i="1"/>
  <c r="F43" i="1"/>
  <c r="E43" i="1"/>
  <c r="D43" i="1"/>
  <c r="C43" i="1"/>
  <c r="B43" i="1"/>
  <c r="A43" i="1"/>
  <c r="J42" i="1"/>
  <c r="G42" i="1"/>
  <c r="F42" i="1"/>
  <c r="E42" i="1"/>
  <c r="D42" i="1"/>
  <c r="C42" i="1"/>
  <c r="B42" i="1"/>
  <c r="A42" i="1"/>
  <c r="J41" i="1"/>
  <c r="G41" i="1"/>
  <c r="F41" i="1"/>
  <c r="E41" i="1"/>
  <c r="D41" i="1"/>
  <c r="C41" i="1"/>
  <c r="B41" i="1"/>
  <c r="A41" i="1"/>
  <c r="J40" i="1"/>
  <c r="G40" i="1"/>
  <c r="F40" i="1"/>
  <c r="E40" i="1"/>
  <c r="D40" i="1"/>
  <c r="C40" i="1"/>
  <c r="B40" i="1"/>
  <c r="A40" i="1"/>
  <c r="J39" i="1"/>
  <c r="G39" i="1"/>
  <c r="F39" i="1"/>
  <c r="E39" i="1"/>
  <c r="D39" i="1"/>
  <c r="C39" i="1"/>
  <c r="B39" i="1"/>
  <c r="A39" i="1"/>
  <c r="J38" i="1"/>
  <c r="G38" i="1"/>
  <c r="F38" i="1"/>
  <c r="E38" i="1"/>
  <c r="D38" i="1"/>
  <c r="C38" i="1"/>
  <c r="B38" i="1"/>
  <c r="A38" i="1"/>
  <c r="J37" i="1"/>
  <c r="G37" i="1"/>
  <c r="F37" i="1"/>
  <c r="E37" i="1"/>
  <c r="D37" i="1"/>
  <c r="C37" i="1"/>
  <c r="B37" i="1"/>
  <c r="A37" i="1"/>
  <c r="J36" i="1"/>
  <c r="G36" i="1"/>
  <c r="F36" i="1"/>
  <c r="E36" i="1"/>
  <c r="D36" i="1"/>
  <c r="C36" i="1"/>
  <c r="B36" i="1"/>
  <c r="A36" i="1"/>
  <c r="J35" i="1"/>
  <c r="G35" i="1"/>
  <c r="F35" i="1"/>
  <c r="E35" i="1"/>
  <c r="D35" i="1"/>
  <c r="C35" i="1"/>
  <c r="B35" i="1"/>
  <c r="A35" i="1"/>
  <c r="J34" i="1"/>
  <c r="G34" i="1"/>
  <c r="F34" i="1"/>
  <c r="E34" i="1"/>
  <c r="D34" i="1"/>
  <c r="C34" i="1"/>
  <c r="B34" i="1"/>
  <c r="A34" i="1"/>
  <c r="J33" i="1"/>
  <c r="G33" i="1"/>
  <c r="F33" i="1"/>
  <c r="E33" i="1"/>
  <c r="D33" i="1"/>
  <c r="C33" i="1"/>
  <c r="B33" i="1"/>
  <c r="A33" i="1"/>
  <c r="J32" i="1"/>
  <c r="G32" i="1"/>
  <c r="F32" i="1"/>
  <c r="E32" i="1"/>
  <c r="D32" i="1"/>
  <c r="C32" i="1"/>
  <c r="B32" i="1"/>
  <c r="A32" i="1"/>
  <c r="J31" i="1"/>
  <c r="G31" i="1"/>
  <c r="F31" i="1"/>
  <c r="E31" i="1"/>
  <c r="D31" i="1"/>
  <c r="C31" i="1"/>
  <c r="B31" i="1"/>
  <c r="A31" i="1"/>
  <c r="J30" i="1"/>
  <c r="G30" i="1"/>
  <c r="F30" i="1"/>
  <c r="E30" i="1"/>
  <c r="D30" i="1"/>
  <c r="C30" i="1"/>
  <c r="B30" i="1"/>
  <c r="A30" i="1"/>
  <c r="J29" i="1"/>
  <c r="G29" i="1"/>
  <c r="F29" i="1"/>
  <c r="E29" i="1"/>
  <c r="D29" i="1"/>
  <c r="C29" i="1"/>
  <c r="B29" i="1"/>
  <c r="A29" i="1"/>
  <c r="J28" i="1"/>
  <c r="G28" i="1"/>
  <c r="F28" i="1"/>
  <c r="E28" i="1"/>
  <c r="D28" i="1"/>
  <c r="C28" i="1"/>
  <c r="B28" i="1"/>
  <c r="A28" i="1"/>
  <c r="J27" i="1"/>
  <c r="G27" i="1"/>
  <c r="F27" i="1"/>
  <c r="E27" i="1"/>
  <c r="D27" i="1"/>
  <c r="C27" i="1"/>
  <c r="B27" i="1"/>
  <c r="A27" i="1"/>
  <c r="J26" i="1"/>
  <c r="G26" i="1"/>
  <c r="F26" i="1"/>
  <c r="E26" i="1"/>
  <c r="D26" i="1"/>
  <c r="C26" i="1"/>
  <c r="B26" i="1"/>
  <c r="A26" i="1"/>
  <c r="J25" i="1"/>
  <c r="G25" i="1"/>
  <c r="F25" i="1"/>
  <c r="E25" i="1"/>
  <c r="D25" i="1"/>
  <c r="C25" i="1"/>
  <c r="B25" i="1"/>
  <c r="A25" i="1"/>
  <c r="J24" i="1"/>
  <c r="G24" i="1"/>
  <c r="F24" i="1"/>
  <c r="E24" i="1"/>
  <c r="D24" i="1"/>
  <c r="C24" i="1"/>
  <c r="B24" i="1"/>
  <c r="A24" i="1"/>
  <c r="J23" i="1"/>
  <c r="G23" i="1"/>
  <c r="F23" i="1"/>
  <c r="E23" i="1"/>
  <c r="D23" i="1"/>
  <c r="C23" i="1"/>
  <c r="B23" i="1"/>
  <c r="A23" i="1"/>
  <c r="J22" i="1"/>
  <c r="G22" i="1"/>
  <c r="F22" i="1"/>
  <c r="E22" i="1"/>
  <c r="D22" i="1"/>
  <c r="C22" i="1"/>
  <c r="B22" i="1"/>
  <c r="A22" i="1"/>
  <c r="J21" i="1"/>
  <c r="G21" i="1"/>
  <c r="F21" i="1"/>
  <c r="E21" i="1"/>
  <c r="D21" i="1"/>
  <c r="C21" i="1"/>
  <c r="B21" i="1"/>
  <c r="A21" i="1"/>
  <c r="J20" i="1"/>
  <c r="G20" i="1"/>
  <c r="F20" i="1"/>
  <c r="E20" i="1"/>
  <c r="D20" i="1"/>
  <c r="C20" i="1"/>
  <c r="B20" i="1"/>
  <c r="A20" i="1"/>
  <c r="J19" i="1"/>
  <c r="G19" i="1"/>
  <c r="F19" i="1"/>
  <c r="E19" i="1"/>
  <c r="D19" i="1"/>
  <c r="C19" i="1"/>
  <c r="B19" i="1"/>
  <c r="A19" i="1"/>
  <c r="J18" i="1"/>
  <c r="G18" i="1"/>
  <c r="F18" i="1"/>
  <c r="E18" i="1"/>
  <c r="D18" i="1"/>
  <c r="C18" i="1"/>
  <c r="B18" i="1"/>
  <c r="A18" i="1"/>
  <c r="J17" i="1"/>
  <c r="G17" i="1"/>
  <c r="F17" i="1"/>
  <c r="E17" i="1"/>
  <c r="D17" i="1"/>
  <c r="C17" i="1"/>
  <c r="B17" i="1"/>
  <c r="A17" i="1"/>
  <c r="J16" i="1"/>
  <c r="G16" i="1"/>
  <c r="F16" i="1"/>
  <c r="E16" i="1"/>
  <c r="D16" i="1"/>
  <c r="C16" i="1"/>
  <c r="B16" i="1"/>
  <c r="A16" i="1"/>
  <c r="J15" i="1"/>
  <c r="G15" i="1"/>
  <c r="F15" i="1"/>
  <c r="E15" i="1"/>
  <c r="D15" i="1"/>
  <c r="C15" i="1"/>
  <c r="B15" i="1"/>
  <c r="A15" i="1"/>
  <c r="J14" i="1"/>
  <c r="G14" i="1"/>
  <c r="F14" i="1"/>
  <c r="E14" i="1"/>
  <c r="D14" i="1"/>
  <c r="C14" i="1"/>
  <c r="B14" i="1"/>
  <c r="A14" i="1"/>
  <c r="J13" i="1"/>
  <c r="G13" i="1"/>
  <c r="F13" i="1"/>
  <c r="E13" i="1"/>
  <c r="D13" i="1"/>
  <c r="C13" i="1"/>
  <c r="B13" i="1"/>
  <c r="A13" i="1"/>
  <c r="J12" i="1"/>
  <c r="G12" i="1"/>
  <c r="F12" i="1"/>
  <c r="E12" i="1"/>
  <c r="D12" i="1"/>
  <c r="C12" i="1"/>
  <c r="B12" i="1"/>
  <c r="A12" i="1"/>
  <c r="J11" i="1"/>
  <c r="G11" i="1"/>
  <c r="F11" i="1"/>
  <c r="E11" i="1"/>
  <c r="D11" i="1"/>
  <c r="C11" i="1"/>
  <c r="B11" i="1"/>
  <c r="A11" i="1"/>
  <c r="J10" i="1"/>
  <c r="G10" i="1"/>
  <c r="F10" i="1"/>
  <c r="E10" i="1"/>
  <c r="D10" i="1"/>
  <c r="C10" i="1"/>
  <c r="B10" i="1"/>
  <c r="A10" i="1"/>
  <c r="J9" i="1"/>
  <c r="G9" i="1"/>
  <c r="F9" i="1"/>
  <c r="E9" i="1"/>
  <c r="D9" i="1"/>
  <c r="C9" i="1"/>
  <c r="B9" i="1"/>
  <c r="A9" i="1"/>
  <c r="J8" i="1"/>
  <c r="G8" i="1"/>
  <c r="F8" i="1"/>
  <c r="E8" i="1"/>
  <c r="D8" i="1"/>
  <c r="C8" i="1"/>
  <c r="B8" i="1"/>
  <c r="A8" i="1"/>
  <c r="J7" i="1"/>
  <c r="G7" i="1"/>
  <c r="F7" i="1"/>
  <c r="E7" i="1"/>
  <c r="C7" i="1"/>
  <c r="B7" i="1"/>
  <c r="A7" i="1"/>
  <c r="J6" i="1"/>
  <c r="G6" i="1"/>
  <c r="F6" i="1"/>
  <c r="E6" i="1"/>
  <c r="D6" i="1"/>
  <c r="C6" i="1"/>
  <c r="B6" i="1"/>
  <c r="A6" i="1"/>
  <c r="J5" i="1"/>
  <c r="G5" i="1"/>
  <c r="F5" i="1"/>
  <c r="E5" i="1"/>
  <c r="D5" i="1"/>
  <c r="C5" i="1"/>
  <c r="B5" i="1"/>
  <c r="A5" i="1"/>
  <c r="J4" i="1"/>
  <c r="G4" i="1"/>
  <c r="F4" i="1"/>
  <c r="E4" i="1"/>
  <c r="D4" i="1"/>
  <c r="C4" i="1"/>
  <c r="B4" i="1"/>
  <c r="A4" i="1"/>
  <c r="J3" i="1"/>
  <c r="G3" i="1"/>
  <c r="F3" i="1"/>
  <c r="E3" i="1"/>
  <c r="D3" i="1"/>
  <c r="C3" i="1"/>
  <c r="B3" i="1"/>
  <c r="A3" i="1"/>
  <c r="J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<sst xmlns="http://schemas.openxmlformats.org/spreadsheetml/2006/main" count="115" uniqueCount="14">
  <si>
    <t>="Реєстрація декларації про готовність об’єкта до експлуатації (відповідно до Наказу Міністерства регіонального розвитку, будівництва та житлово-комунального господарства України від 03.07.2018 №158 «Про затвердження Порядку проведення технічного обстежен</t>
  </si>
  <si>
    <t>="Подання повідомлення про початок виконання будівельних робіт щодо об’єктів, що за класом наслідків (відповідальності) належать до об’єктів з незначними наслідками (СС1)/про зміну даних у повідомленні про початок виконання будівельних робіт щодо об’єктів</t>
  </si>
  <si>
    <t>="Подання повідомлення про початок виконання будівельних робіт щодо об’єктів, будівництво яких здійснюється на підставі будівельного паспорта/про зміну даних у повідомленні про початок виконання будівельних робіт щодо об’єктів, будівництво яких здійснюєть</t>
  </si>
  <si>
    <t>Реєстраційний номер</t>
  </si>
  <si>
    <t>Дата реєстрації</t>
  </si>
  <si>
    <t>Стан</t>
  </si>
  <si>
    <t>Адміністративна послуга</t>
  </si>
  <si>
    <t>Категорія</t>
  </si>
  <si>
    <t>Адміністративний орган</t>
  </si>
  <si>
    <t>Термін виконання</t>
  </si>
  <si>
    <t>Вид відповіді</t>
  </si>
  <si>
    <t>Відповідь</t>
  </si>
  <si>
    <t>Послуга платна?</t>
  </si>
  <si>
    <t>="Державна реєстрація змін до відомостей про обласні, регіональні, місцеві та первинні професійні спілки, їх організацій, організації професійних спілок, об’єднання професійних спілок, що містяться в Єдиному державному реєстрі юридичних осіб, фізичних осі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</si>
</sst>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05"/>
  <sheetViews>
    <sheetView tabSelected="1" topLeftCell="A3200" workbookViewId="0">
      <selection activeCell="D5" sqref="D5"/>
    </sheetView>
  </sheetViews>
  <sheetFormatPr defaultRowHeight="15" x14ac:dyDescent="0.25"/>
  <cols>
    <col min="1" max="1" width="19.140625" style="1" customWidth="1"/>
    <col min="2" max="2" width="13" style="1" customWidth="1"/>
    <col min="3" max="3" width="10.85546875" style="1" customWidth="1"/>
    <col min="4" max="4" width="22.85546875" style="1" customWidth="1"/>
    <col min="5" max="5" width="17.5703125" style="1" customWidth="1"/>
    <col min="6" max="6" width="22.140625" style="1" customWidth="1"/>
    <col min="7" max="7" width="11.85546875" style="1" customWidth="1"/>
    <col min="8" max="8" width="10.28515625" style="1" customWidth="1"/>
    <col min="9" max="9" width="12.140625" style="1" customWidth="1"/>
    <col min="10" max="16384" width="9.140625" style="1"/>
  </cols>
  <sheetData>
    <row r="1" spans="1:10" ht="30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</row>
    <row r="2" spans="1:10" ht="46.5" customHeight="1" x14ac:dyDescent="0.25">
      <c r="A2" s="1" t="str">
        <f>"24-2020/27"</f>
        <v>24-2020/27</v>
      </c>
      <c r="B2" s="1" t="str">
        <f t="shared" ref="B2:B36" si="0">"02.01.2020"</f>
        <v>02.01.2020</v>
      </c>
      <c r="C2" s="1" t="str">
        <f t="shared" ref="C2:C65" si="1">"Закрито"</f>
        <v>Закрито</v>
      </c>
      <c r="D2" s="1" t="str">
        <f>"Зняття з реєстрації місця проживання"</f>
        <v>Зняття з реєстрації місця проживання</v>
      </c>
      <c r="E2" s="1" t="str">
        <f>"Реєстрація місця проживання"</f>
        <v>Реєстрація місця проживання</v>
      </c>
      <c r="F2" s="1" t="str">
        <f>"Відділ реєстрації Новокаховської міської ради"</f>
        <v>Відділ реєстрації Новокаховської міської ради</v>
      </c>
      <c r="G2" s="1" t="str">
        <f>"1"</f>
        <v>1</v>
      </c>
      <c r="H2" s="1" t="str">
        <f>"Результат"</f>
        <v>Результат</v>
      </c>
      <c r="I2" s="1" t="str">
        <f>"Позитивний"</f>
        <v>Позитивний</v>
      </c>
      <c r="J2" s="1" t="str">
        <f>"Так"</f>
        <v>Так</v>
      </c>
    </row>
    <row r="3" spans="1:10" ht="45" x14ac:dyDescent="0.25">
      <c r="A3" s="1" t="str">
        <f>"5-2020/27"</f>
        <v>5-2020/27</v>
      </c>
      <c r="B3" s="1" t="str">
        <f t="shared" si="0"/>
        <v>02.01.2020</v>
      </c>
      <c r="C3" s="1" t="str">
        <f t="shared" si="1"/>
        <v>Закрито</v>
      </c>
      <c r="D3" s="1" t="str">
        <f>"Зняття з реєстрації місця проживання"</f>
        <v>Зняття з реєстрації місця проживання</v>
      </c>
      <c r="E3" s="1" t="str">
        <f>"Реєстрація місця проживання"</f>
        <v>Реєстрація місця проживання</v>
      </c>
      <c r="F3" s="1" t="str">
        <f>"Відділ реєстрації Новокаховської міської ради"</f>
        <v>Відділ реєстрації Новокаховської міської ради</v>
      </c>
      <c r="G3" s="1" t="str">
        <f>"1"</f>
        <v>1</v>
      </c>
      <c r="H3" s="1" t="str">
        <f>"Результат"</f>
        <v>Результат</v>
      </c>
      <c r="I3" s="1" t="str">
        <f>"Позитивний"</f>
        <v>Позитивний</v>
      </c>
      <c r="J3" s="1" t="str">
        <f>"Так"</f>
        <v>Так</v>
      </c>
    </row>
    <row r="4" spans="1:10" ht="45" x14ac:dyDescent="0.25">
      <c r="A4" s="1" t="str">
        <f>"2-2020/27"</f>
        <v>2-2020/27</v>
      </c>
      <c r="B4" s="1" t="str">
        <f t="shared" si="0"/>
        <v>02.01.2020</v>
      </c>
      <c r="C4" s="1" t="str">
        <f t="shared" si="1"/>
        <v>Закрито</v>
      </c>
      <c r="D4" s="1" t="str">
        <f>"Зняття з реєстрації місця проживання"</f>
        <v>Зняття з реєстрації місця проживання</v>
      </c>
      <c r="E4" s="1" t="str">
        <f>"Реєстрація місця проживання"</f>
        <v>Реєстрація місця проживання</v>
      </c>
      <c r="F4" s="1" t="str">
        <f>"Відділ реєстрації Новокаховської міської ради"</f>
        <v>Відділ реєстрації Новокаховської міської ради</v>
      </c>
      <c r="G4" s="1" t="str">
        <f>"1"</f>
        <v>1</v>
      </c>
      <c r="H4" s="1" t="str">
        <f>"Результат"</f>
        <v>Результат</v>
      </c>
      <c r="I4" s="1" t="str">
        <f>"Позитивний"</f>
        <v>Позитивний</v>
      </c>
      <c r="J4" s="1" t="str">
        <f>"Так"</f>
        <v>Так</v>
      </c>
    </row>
    <row r="5" spans="1:10" ht="45" x14ac:dyDescent="0.25">
      <c r="A5" s="1" t="str">
        <f>"1-2020/27"</f>
        <v>1-2020/27</v>
      </c>
      <c r="B5" s="1" t="str">
        <f t="shared" si="0"/>
        <v>02.01.2020</v>
      </c>
      <c r="C5" s="1" t="str">
        <f t="shared" si="1"/>
        <v>Закрито</v>
      </c>
      <c r="D5" s="1" t="str">
        <f>"Реєстрація місця проживання особи"</f>
        <v>Реєстрація місця проживання особи</v>
      </c>
      <c r="E5" s="1" t="str">
        <f>"Реєстрація місця проживання"</f>
        <v>Реєстрація місця проживання</v>
      </c>
      <c r="F5" s="1" t="str">
        <f>"Відділ реєстрації Новокаховської міської ради"</f>
        <v>Відділ реєстрації Новокаховської міської ради</v>
      </c>
      <c r="G5" s="1" t="str">
        <f>"1"</f>
        <v>1</v>
      </c>
      <c r="H5" s="1" t="str">
        <f>"Результат"</f>
        <v>Результат</v>
      </c>
      <c r="I5" s="1" t="str">
        <f>"Позитивний"</f>
        <v>Позитивний</v>
      </c>
      <c r="J5" s="1" t="str">
        <f>"Так"</f>
        <v>Так</v>
      </c>
    </row>
    <row r="6" spans="1:10" ht="90" x14ac:dyDescent="0.25">
      <c r="A6" s="1" t="str">
        <f>"12-2020/27"</f>
        <v>12-2020/27</v>
      </c>
      <c r="B6" s="1" t="str">
        <f t="shared" si="0"/>
        <v>02.01.2020</v>
      </c>
      <c r="C6" s="1" t="str">
        <f t="shared" si="1"/>
        <v>Закрито</v>
      </c>
      <c r="D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" s="1" t="str">
        <f>"Інші послуги"</f>
        <v>Інші послуги</v>
      </c>
      <c r="F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" s="1" t="str">
        <f>"5"</f>
        <v>5</v>
      </c>
      <c r="H6" s="1" t="str">
        <f>"Результат"</f>
        <v>Результат</v>
      </c>
      <c r="I6" s="1" t="str">
        <f>"Позитивний"</f>
        <v>Позитивний</v>
      </c>
      <c r="J6" s="1" t="str">
        <f>"Ні"</f>
        <v>Ні</v>
      </c>
    </row>
    <row r="7" spans="1:10" ht="225" x14ac:dyDescent="0.25">
      <c r="A7" s="1" t="str">
        <f>"27-2020/27"</f>
        <v>27-2020/27</v>
      </c>
      <c r="B7" s="1" t="str">
        <f t="shared" si="0"/>
        <v>02.01.2020</v>
      </c>
      <c r="C7" s="1" t="str">
        <f t="shared" si="1"/>
        <v>Закрито</v>
      </c>
      <c r="D7" s="1" t="s">
        <v>0</v>
      </c>
      <c r="E7" s="1" t="str">
        <f>"Будівництво"</f>
        <v>Будівництво</v>
      </c>
      <c r="F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7" s="1" t="str">
        <f>"10"</f>
        <v>10</v>
      </c>
      <c r="H7" s="1" t="str">
        <f>"Результат"</f>
        <v>Результат</v>
      </c>
      <c r="I7" s="1" t="str">
        <f>"Мотивована відмова"</f>
        <v>Мотивована відмова</v>
      </c>
      <c r="J7" s="1" t="str">
        <f>"Ні"</f>
        <v>Ні</v>
      </c>
    </row>
    <row r="8" spans="1:10" ht="45" x14ac:dyDescent="0.25">
      <c r="A8" s="1" t="str">
        <f>"10-2020/27"</f>
        <v>10-2020/27</v>
      </c>
      <c r="B8" s="1" t="str">
        <f t="shared" si="0"/>
        <v>02.01.2020</v>
      </c>
      <c r="C8" s="1" t="str">
        <f t="shared" si="1"/>
        <v>Закрито</v>
      </c>
      <c r="D8" s="1" t="str">
        <f>"Реєстрація місця проживання особи"</f>
        <v>Реєстрація місця проживання особи</v>
      </c>
      <c r="E8" s="1" t="str">
        <f>"Реєстрація місця проживання"</f>
        <v>Реєстрація місця проживання</v>
      </c>
      <c r="F8" s="1" t="str">
        <f>"Відділ реєстрації Новокаховської міської ради"</f>
        <v>Відділ реєстрації Новокаховської міської ради</v>
      </c>
      <c r="G8" s="1" t="str">
        <f>"1"</f>
        <v>1</v>
      </c>
      <c r="H8" s="1" t="str">
        <f>"Результат"</f>
        <v>Результат</v>
      </c>
      <c r="I8" s="1" t="str">
        <f>"Позитивний"</f>
        <v>Позитивний</v>
      </c>
      <c r="J8" s="1" t="str">
        <f>"Так"</f>
        <v>Так</v>
      </c>
    </row>
    <row r="9" spans="1:10" ht="45" x14ac:dyDescent="0.25">
      <c r="A9" s="1" t="str">
        <f>"8-2020/27"</f>
        <v>8-2020/27</v>
      </c>
      <c r="B9" s="1" t="str">
        <f t="shared" si="0"/>
        <v>02.01.2020</v>
      </c>
      <c r="C9" s="1" t="str">
        <f t="shared" si="1"/>
        <v>Закрито</v>
      </c>
      <c r="D9" s="1" t="str">
        <f>"Зняття з реєстрації місця проживання"</f>
        <v>Зняття з реєстрації місця проживання</v>
      </c>
      <c r="E9" s="1" t="str">
        <f>"Реєстрація місця проживання"</f>
        <v>Реєстрація місця проживання</v>
      </c>
      <c r="F9" s="1" t="str">
        <f>"Відділ реєстрації Новокаховської міської ради"</f>
        <v>Відділ реєстрації Новокаховської міської ради</v>
      </c>
      <c r="G9" s="1" t="str">
        <f>"1"</f>
        <v>1</v>
      </c>
      <c r="H9" s="1" t="str">
        <f>"Результат"</f>
        <v>Результат</v>
      </c>
      <c r="I9" s="1" t="str">
        <f>"Позитивний"</f>
        <v>Позитивний</v>
      </c>
      <c r="J9" s="1" t="str">
        <f>"Так"</f>
        <v>Так</v>
      </c>
    </row>
    <row r="10" spans="1:10" ht="45" x14ac:dyDescent="0.25">
      <c r="A10" s="1" t="str">
        <f>"22-2020/27"</f>
        <v>22-2020/27</v>
      </c>
      <c r="B10" s="1" t="str">
        <f t="shared" si="0"/>
        <v>02.01.2020</v>
      </c>
      <c r="C10" s="1" t="str">
        <f t="shared" si="1"/>
        <v>Закрито</v>
      </c>
      <c r="D10" s="1" t="str">
        <f>"Реєстрація місця проживання особи"</f>
        <v>Реєстрація місця проживання особи</v>
      </c>
      <c r="E10" s="1" t="str">
        <f>"Реєстрація місця проживання"</f>
        <v>Реєстрація місця проживання</v>
      </c>
      <c r="F10" s="1" t="str">
        <f>"Відділ реєстрації Новокаховської міської ради"</f>
        <v>Відділ реєстрації Новокаховської міської ради</v>
      </c>
      <c r="G10" s="1" t="str">
        <f>"1"</f>
        <v>1</v>
      </c>
      <c r="H10" s="1" t="str">
        <f>"Результат"</f>
        <v>Результат</v>
      </c>
      <c r="I10" s="1" t="str">
        <f>"Мотивована відмова"</f>
        <v>Мотивована відмова</v>
      </c>
      <c r="J10" s="1" t="str">
        <f>"Ні"</f>
        <v>Ні</v>
      </c>
    </row>
    <row r="11" spans="1:10" ht="45" x14ac:dyDescent="0.25">
      <c r="A11" s="1" t="str">
        <f>"18-2020/27"</f>
        <v>18-2020/27</v>
      </c>
      <c r="B11" s="1" t="str">
        <f t="shared" si="0"/>
        <v>02.01.2020</v>
      </c>
      <c r="C11" s="1" t="str">
        <f t="shared" si="1"/>
        <v>Закрито</v>
      </c>
      <c r="D11" s="1" t="str">
        <f>"Реєстрація місця проживання особи"</f>
        <v>Реєстрація місця проживання особи</v>
      </c>
      <c r="E11" s="1" t="str">
        <f>"Реєстрація місця проживання"</f>
        <v>Реєстрація місця проживання</v>
      </c>
      <c r="F11" s="1" t="str">
        <f>"Відділ реєстрації Новокаховської міської ради"</f>
        <v>Відділ реєстрації Новокаховської міської ради</v>
      </c>
      <c r="G11" s="1" t="str">
        <f>"1"</f>
        <v>1</v>
      </c>
      <c r="H11" s="1" t="str">
        <f>"Результат"</f>
        <v>Результат</v>
      </c>
      <c r="I11" s="1" t="str">
        <f>"Позитивний"</f>
        <v>Позитивний</v>
      </c>
      <c r="J11" s="1" t="str">
        <f>"Так"</f>
        <v>Так</v>
      </c>
    </row>
    <row r="12" spans="1:10" ht="45" x14ac:dyDescent="0.25">
      <c r="A12" s="1" t="str">
        <f>"2/К-2020/01/27"</f>
        <v>2/К-2020/01/27</v>
      </c>
      <c r="B12" s="1" t="str">
        <f t="shared" si="0"/>
        <v>02.01.2020</v>
      </c>
      <c r="C12" s="1" t="str">
        <f t="shared" si="1"/>
        <v>Закрито</v>
      </c>
      <c r="D12" s="1" t="str">
        <f>"Зняття з реєстрації місця проживання"</f>
        <v>Зняття з реєстрації місця проживання</v>
      </c>
      <c r="E12" s="1" t="str">
        <f>"Реєстрація місця проживання"</f>
        <v>Реєстрація місця проживання</v>
      </c>
      <c r="F12" s="1" t="str">
        <f>"Відділ реєстрації Новокаховської міської ради"</f>
        <v>Відділ реєстрації Новокаховської міської ради</v>
      </c>
      <c r="G12" s="1" t="str">
        <f>"1"</f>
        <v>1</v>
      </c>
      <c r="H12" s="1" t="str">
        <f>"Результат"</f>
        <v>Результат</v>
      </c>
      <c r="I12" s="1" t="str">
        <f>"Позитивний"</f>
        <v>Позитивний</v>
      </c>
      <c r="J12" s="1" t="str">
        <f>"Ні"</f>
        <v>Ні</v>
      </c>
    </row>
    <row r="13" spans="1:10" ht="135" x14ac:dyDescent="0.25">
      <c r="A13" s="1" t="str">
        <f>"30-2020/27"</f>
        <v>30-2020/27</v>
      </c>
      <c r="B13" s="1" t="str">
        <f t="shared" si="0"/>
        <v>02.01.2020</v>
      </c>
      <c r="C13" s="1" t="str">
        <f t="shared" si="1"/>
        <v>Закрито</v>
      </c>
      <c r="D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" s="1" t="str">
        <f>"Земельні питання"</f>
        <v>Земельні питання</v>
      </c>
      <c r="F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" s="1" t="str">
        <f>"3"</f>
        <v>3</v>
      </c>
      <c r="H13" s="1" t="str">
        <f>"Результат"</f>
        <v>Результат</v>
      </c>
      <c r="I13" s="1" t="str">
        <f>"Позитивний"</f>
        <v>Позитивний</v>
      </c>
      <c r="J13" s="1" t="str">
        <f>"Ні"</f>
        <v>Ні</v>
      </c>
    </row>
    <row r="14" spans="1:10" ht="45" x14ac:dyDescent="0.25">
      <c r="A14" s="1" t="str">
        <f>"23-2020/27"</f>
        <v>23-2020/27</v>
      </c>
      <c r="B14" s="1" t="str">
        <f t="shared" si="0"/>
        <v>02.01.2020</v>
      </c>
      <c r="C14" s="1" t="str">
        <f t="shared" si="1"/>
        <v>Закрито</v>
      </c>
      <c r="D14" s="1" t="str">
        <f>"Реєстрація місця проживання особи"</f>
        <v>Реєстрація місця проживання особи</v>
      </c>
      <c r="E14" s="1" t="str">
        <f>"Реєстрація місця проживання"</f>
        <v>Реєстрація місця проживання</v>
      </c>
      <c r="F14" s="1" t="str">
        <f>"Відділ реєстрації Новокаховської міської ради"</f>
        <v>Відділ реєстрації Новокаховської міської ради</v>
      </c>
      <c r="G14" s="1" t="str">
        <f>"1"</f>
        <v>1</v>
      </c>
      <c r="H14" s="1" t="str">
        <f>"Результат"</f>
        <v>Результат</v>
      </c>
      <c r="I14" s="1" t="str">
        <f>"Мотивована відмова"</f>
        <v>Мотивована відмова</v>
      </c>
      <c r="J14" s="1" t="str">
        <f>"Так"</f>
        <v>Так</v>
      </c>
    </row>
    <row r="15" spans="1:10" ht="45" x14ac:dyDescent="0.25">
      <c r="A15" s="1" t="str">
        <f>"9-2020/27"</f>
        <v>9-2020/27</v>
      </c>
      <c r="B15" s="1" t="str">
        <f t="shared" si="0"/>
        <v>02.01.2020</v>
      </c>
      <c r="C15" s="1" t="str">
        <f t="shared" si="1"/>
        <v>Закрито</v>
      </c>
      <c r="D15" s="1" t="str">
        <f>"Реєстрація місця проживання особи"</f>
        <v>Реєстрація місця проживання особи</v>
      </c>
      <c r="E15" s="1" t="str">
        <f>"Реєстрація місця проживання"</f>
        <v>Реєстрація місця проживання</v>
      </c>
      <c r="F15" s="1" t="str">
        <f>"Відділ реєстрації Новокаховської міської ради"</f>
        <v>Відділ реєстрації Новокаховської міської ради</v>
      </c>
      <c r="G15" s="1" t="str">
        <f>"1"</f>
        <v>1</v>
      </c>
      <c r="H15" s="1" t="str">
        <f>"Результат"</f>
        <v>Результат</v>
      </c>
      <c r="I15" s="1" t="str">
        <f>"Позитивний"</f>
        <v>Позитивний</v>
      </c>
      <c r="J15" s="1" t="str">
        <f>"Так"</f>
        <v>Так</v>
      </c>
    </row>
    <row r="16" spans="1:10" ht="135" x14ac:dyDescent="0.25">
      <c r="A16" s="1" t="str">
        <f>"28-2020/27"</f>
        <v>28-2020/27</v>
      </c>
      <c r="B16" s="1" t="str">
        <f t="shared" si="0"/>
        <v>02.01.2020</v>
      </c>
      <c r="C16" s="1" t="str">
        <f t="shared" si="1"/>
        <v>Закрито</v>
      </c>
      <c r="D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6" s="1" t="str">
        <f>"Земельні питання"</f>
        <v>Земельні питання</v>
      </c>
      <c r="F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" s="1" t="str">
        <f>"3"</f>
        <v>3</v>
      </c>
      <c r="H16" s="1" t="str">
        <f>"Результат"</f>
        <v>Результат</v>
      </c>
      <c r="I16" s="1" t="str">
        <f>"Позитивний"</f>
        <v>Позитивний</v>
      </c>
      <c r="J16" s="1" t="str">
        <f>"Ні"</f>
        <v>Ні</v>
      </c>
    </row>
    <row r="17" spans="1:10" ht="45" x14ac:dyDescent="0.25">
      <c r="A17" s="1" t="str">
        <f>"7-2020/27"</f>
        <v>7-2020/27</v>
      </c>
      <c r="B17" s="1" t="str">
        <f t="shared" si="0"/>
        <v>02.01.2020</v>
      </c>
      <c r="C17" s="1" t="str">
        <f t="shared" si="1"/>
        <v>Закрито</v>
      </c>
      <c r="D17" s="1" t="str">
        <f>"Зняття з реєстрації місця проживання"</f>
        <v>Зняття з реєстрації місця проживання</v>
      </c>
      <c r="E17" s="1" t="str">
        <f>"Реєстрація місця проживання"</f>
        <v>Реєстрація місця проживання</v>
      </c>
      <c r="F17" s="1" t="str">
        <f>"Відділ реєстрації Новокаховської міської ради"</f>
        <v>Відділ реєстрації Новокаховської міської ради</v>
      </c>
      <c r="G17" s="1" t="str">
        <f>"1"</f>
        <v>1</v>
      </c>
      <c r="H17" s="1" t="str">
        <f>"Результат"</f>
        <v>Результат</v>
      </c>
      <c r="I17" s="1" t="str">
        <f>"Позитивний"</f>
        <v>Позитивний</v>
      </c>
      <c r="J17" s="1" t="str">
        <f>"Так"</f>
        <v>Так</v>
      </c>
    </row>
    <row r="18" spans="1:10" ht="45" x14ac:dyDescent="0.25">
      <c r="A18" s="1" t="str">
        <f>"16-2020/27"</f>
        <v>16-2020/27</v>
      </c>
      <c r="B18" s="1" t="str">
        <f t="shared" si="0"/>
        <v>02.01.2020</v>
      </c>
      <c r="C18" s="1" t="str">
        <f t="shared" si="1"/>
        <v>Закрито</v>
      </c>
      <c r="D18" s="1" t="str">
        <f>"Реєстрація місця проживання особи"</f>
        <v>Реєстрація місця проживання особи</v>
      </c>
      <c r="E18" s="1" t="str">
        <f>"Реєстрація місця проживання"</f>
        <v>Реєстрація місця проживання</v>
      </c>
      <c r="F18" s="1" t="str">
        <f>"Відділ реєстрації Новокаховської міської ради"</f>
        <v>Відділ реєстрації Новокаховської міської ради</v>
      </c>
      <c r="G18" s="1" t="str">
        <f>"1"</f>
        <v>1</v>
      </c>
      <c r="H18" s="1" t="str">
        <f>"Результат"</f>
        <v>Результат</v>
      </c>
      <c r="I18" s="1" t="str">
        <f>"Позитивний"</f>
        <v>Позитивний</v>
      </c>
      <c r="J18" s="1" t="str">
        <f>"Так"</f>
        <v>Так</v>
      </c>
    </row>
    <row r="19" spans="1:10" ht="45" x14ac:dyDescent="0.25">
      <c r="A19" s="1" t="str">
        <f>"20-2020/27"</f>
        <v>20-2020/27</v>
      </c>
      <c r="B19" s="1" t="str">
        <f t="shared" si="0"/>
        <v>02.01.2020</v>
      </c>
      <c r="C19" s="1" t="str">
        <f t="shared" si="1"/>
        <v>Закрито</v>
      </c>
      <c r="D19" s="1" t="str">
        <f>"Зняття з реєстрації місця проживання"</f>
        <v>Зняття з реєстрації місця проживання</v>
      </c>
      <c r="E19" s="1" t="str">
        <f>"Реєстрація місця проживання"</f>
        <v>Реєстрація місця проживання</v>
      </c>
      <c r="F19" s="1" t="str">
        <f>"Відділ реєстрації Новокаховської міської ради"</f>
        <v>Відділ реєстрації Новокаховської міської ради</v>
      </c>
      <c r="G19" s="1" t="str">
        <f>"1"</f>
        <v>1</v>
      </c>
      <c r="H19" s="1" t="str">
        <f>"Результат"</f>
        <v>Результат</v>
      </c>
      <c r="I19" s="1" t="str">
        <f>"Мотивована відмова"</f>
        <v>Мотивована відмова</v>
      </c>
      <c r="J19" s="1" t="str">
        <f>"Так"</f>
        <v>Так</v>
      </c>
    </row>
    <row r="20" spans="1:10" ht="45" x14ac:dyDescent="0.25">
      <c r="A20" s="1" t="str">
        <f>"14-2020/27"</f>
        <v>14-2020/27</v>
      </c>
      <c r="B20" s="1" t="str">
        <f t="shared" si="0"/>
        <v>02.01.2020</v>
      </c>
      <c r="C20" s="1" t="str">
        <f t="shared" si="1"/>
        <v>Закрито</v>
      </c>
      <c r="D20" s="1" t="str">
        <f>"Реєстрація місця проживання особи"</f>
        <v>Реєстрація місця проживання особи</v>
      </c>
      <c r="E20" s="1" t="str">
        <f>"Реєстрація місця проживання"</f>
        <v>Реєстрація місця проживання</v>
      </c>
      <c r="F20" s="1" t="str">
        <f>"Відділ реєстрації Новокаховської міської ради"</f>
        <v>Відділ реєстрації Новокаховської міської ради</v>
      </c>
      <c r="G20" s="1" t="str">
        <f>"1"</f>
        <v>1</v>
      </c>
      <c r="H20" s="1" t="str">
        <f>"Результат"</f>
        <v>Результат</v>
      </c>
      <c r="I20" s="1" t="str">
        <f>"Позитивний"</f>
        <v>Позитивний</v>
      </c>
      <c r="J20" s="1" t="str">
        <f>"Так"</f>
        <v>Так</v>
      </c>
    </row>
    <row r="21" spans="1:10" ht="45" x14ac:dyDescent="0.25">
      <c r="A21" s="1" t="str">
        <f>"13-2020/27"</f>
        <v>13-2020/27</v>
      </c>
      <c r="B21" s="1" t="str">
        <f t="shared" si="0"/>
        <v>02.01.2020</v>
      </c>
      <c r="C21" s="1" t="str">
        <f t="shared" si="1"/>
        <v>Закрито</v>
      </c>
      <c r="D21" s="1" t="str">
        <f>"Реєстрація місця проживання особи"</f>
        <v>Реєстрація місця проживання особи</v>
      </c>
      <c r="E21" s="1" t="str">
        <f>"Реєстрація місця проживання"</f>
        <v>Реєстрація місця проживання</v>
      </c>
      <c r="F21" s="1" t="str">
        <f>"Відділ реєстрації Новокаховської міської ради"</f>
        <v>Відділ реєстрації Новокаховської міської ради</v>
      </c>
      <c r="G21" s="1" t="str">
        <f>"1"</f>
        <v>1</v>
      </c>
      <c r="H21" s="1" t="str">
        <f>"Результат"</f>
        <v>Результат</v>
      </c>
      <c r="I21" s="1" t="str">
        <f>"Мотивована відмова"</f>
        <v>Мотивована відмова</v>
      </c>
      <c r="J21" s="1" t="str">
        <f>"Так"</f>
        <v>Так</v>
      </c>
    </row>
    <row r="22" spans="1:10" ht="90" x14ac:dyDescent="0.25">
      <c r="A22" s="1" t="str">
        <f>"21-2020/27"</f>
        <v>21-2020/27</v>
      </c>
      <c r="B22" s="1" t="str">
        <f t="shared" si="0"/>
        <v>02.01.2020</v>
      </c>
      <c r="C22" s="1" t="str">
        <f t="shared" si="1"/>
        <v>Закрито</v>
      </c>
      <c r="D2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" s="1" t="str">
        <f>"Інші послуги"</f>
        <v>Інші послуги</v>
      </c>
      <c r="F2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" s="1" t="str">
        <f>"5"</f>
        <v>5</v>
      </c>
      <c r="H22" s="1" t="str">
        <f>"Результат"</f>
        <v>Результат</v>
      </c>
      <c r="I22" s="1" t="str">
        <f>"Позитивний"</f>
        <v>Позитивний</v>
      </c>
      <c r="J22" s="1" t="str">
        <f>"Ні"</f>
        <v>Ні</v>
      </c>
    </row>
    <row r="23" spans="1:10" ht="45" x14ac:dyDescent="0.25">
      <c r="A23" s="1" t="str">
        <f>"19-2020/27"</f>
        <v>19-2020/27</v>
      </c>
      <c r="B23" s="1" t="str">
        <f t="shared" si="0"/>
        <v>02.01.2020</v>
      </c>
      <c r="C23" s="1" t="str">
        <f t="shared" si="1"/>
        <v>Закрито</v>
      </c>
      <c r="D23" s="1" t="str">
        <f>"Реєстрація місця проживання особи"</f>
        <v>Реєстрація місця проживання особи</v>
      </c>
      <c r="E23" s="1" t="str">
        <f>"Реєстрація місця проживання"</f>
        <v>Реєстрація місця проживання</v>
      </c>
      <c r="F23" s="1" t="str">
        <f>"Відділ реєстрації Новокаховської міської ради"</f>
        <v>Відділ реєстрації Новокаховської міської ради</v>
      </c>
      <c r="G23" s="1" t="str">
        <f>"1"</f>
        <v>1</v>
      </c>
      <c r="H23" s="1" t="str">
        <f>"Результат"</f>
        <v>Результат</v>
      </c>
      <c r="I23" s="1" t="str">
        <f>"Позитивний"</f>
        <v>Позитивний</v>
      </c>
      <c r="J23" s="1" t="str">
        <f>"Так"</f>
        <v>Так</v>
      </c>
    </row>
    <row r="24" spans="1:10" ht="45" x14ac:dyDescent="0.25">
      <c r="A24" s="1" t="str">
        <f>"17-2020/27"</f>
        <v>17-2020/27</v>
      </c>
      <c r="B24" s="1" t="str">
        <f t="shared" si="0"/>
        <v>02.01.2020</v>
      </c>
      <c r="C24" s="1" t="str">
        <f t="shared" si="1"/>
        <v>Закрито</v>
      </c>
      <c r="D24" s="1" t="str">
        <f>"Реєстрація місця проживання особи"</f>
        <v>Реєстрація місця проживання особи</v>
      </c>
      <c r="E24" s="1" t="str">
        <f>"Реєстрація місця проживання"</f>
        <v>Реєстрація місця проживання</v>
      </c>
      <c r="F24" s="1" t="str">
        <f>"Відділ реєстрації Новокаховської міської ради"</f>
        <v>Відділ реєстрації Новокаховської міської ради</v>
      </c>
      <c r="G24" s="1" t="str">
        <f>"1"</f>
        <v>1</v>
      </c>
      <c r="H24" s="1" t="str">
        <f>"Результат"</f>
        <v>Результат</v>
      </c>
      <c r="I24" s="1" t="str">
        <f>"Мотивована відмова"</f>
        <v>Мотивована відмова</v>
      </c>
      <c r="J24" s="1" t="str">
        <f>"Так"</f>
        <v>Так</v>
      </c>
    </row>
    <row r="25" spans="1:10" ht="135" x14ac:dyDescent="0.25">
      <c r="A25" s="1" t="str">
        <f>"25-2020/27"</f>
        <v>25-2020/27</v>
      </c>
      <c r="B25" s="1" t="str">
        <f t="shared" si="0"/>
        <v>02.01.2020</v>
      </c>
      <c r="C25" s="1" t="str">
        <f t="shared" si="1"/>
        <v>Закрито</v>
      </c>
      <c r="D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" s="1" t="str">
        <f>"Земельні питання"</f>
        <v>Земельні питання</v>
      </c>
      <c r="F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" s="1" t="str">
        <f>"3"</f>
        <v>3</v>
      </c>
      <c r="H25" s="1" t="str">
        <f>"Результат"</f>
        <v>Результат</v>
      </c>
      <c r="I25" s="1" t="str">
        <f>"Позитивний"</f>
        <v>Позитивний</v>
      </c>
      <c r="J25" s="1" t="str">
        <f>"Ні"</f>
        <v>Ні</v>
      </c>
    </row>
    <row r="26" spans="1:10" ht="45" x14ac:dyDescent="0.25">
      <c r="A26" s="1" t="str">
        <f>"3-2020/27"</f>
        <v>3-2020/27</v>
      </c>
      <c r="B26" s="1" t="str">
        <f t="shared" si="0"/>
        <v>02.01.2020</v>
      </c>
      <c r="C26" s="1" t="str">
        <f t="shared" si="1"/>
        <v>Закрито</v>
      </c>
      <c r="D26" s="1" t="str">
        <f>"Зняття з реєстрації місця проживання"</f>
        <v>Зняття з реєстрації місця проживання</v>
      </c>
      <c r="E26" s="1" t="str">
        <f>"Реєстрація місця проживання"</f>
        <v>Реєстрація місця проживання</v>
      </c>
      <c r="F26" s="1" t="str">
        <f>"Відділ реєстрації Новокаховської міської ради"</f>
        <v>Відділ реєстрації Новокаховської міської ради</v>
      </c>
      <c r="G26" s="1" t="str">
        <f>"1"</f>
        <v>1</v>
      </c>
      <c r="H26" s="1" t="str">
        <f>"Результат"</f>
        <v>Результат</v>
      </c>
      <c r="I26" s="1" t="str">
        <f>"Позитивний"</f>
        <v>Позитивний</v>
      </c>
      <c r="J26" s="1" t="str">
        <f>"Так"</f>
        <v>Так</v>
      </c>
    </row>
    <row r="27" spans="1:10" ht="45" x14ac:dyDescent="0.25">
      <c r="A27" s="1" t="str">
        <f>"6-2020/27"</f>
        <v>6-2020/27</v>
      </c>
      <c r="B27" s="1" t="str">
        <f t="shared" si="0"/>
        <v>02.01.2020</v>
      </c>
      <c r="C27" s="1" t="str">
        <f t="shared" si="1"/>
        <v>Закрито</v>
      </c>
      <c r="D27" s="1" t="str">
        <f>"Реєстрація місця проживання особи"</f>
        <v>Реєстрація місця проживання особи</v>
      </c>
      <c r="E27" s="1" t="str">
        <f>"Реєстрація місця проживання"</f>
        <v>Реєстрація місця проживання</v>
      </c>
      <c r="F27" s="1" t="str">
        <f>"Відділ реєстрації Новокаховської міської ради"</f>
        <v>Відділ реєстрації Новокаховської міської ради</v>
      </c>
      <c r="G27" s="1" t="str">
        <f>"1"</f>
        <v>1</v>
      </c>
      <c r="H27" s="1" t="str">
        <f>"Результат"</f>
        <v>Результат</v>
      </c>
      <c r="I27" s="1" t="str">
        <f>"Позитивний"</f>
        <v>Позитивний</v>
      </c>
      <c r="J27" s="1" t="str">
        <f>"Так"</f>
        <v>Так</v>
      </c>
    </row>
    <row r="28" spans="1:10" ht="135" x14ac:dyDescent="0.25">
      <c r="A28" s="1" t="str">
        <f>"26-2020/27"</f>
        <v>26-2020/27</v>
      </c>
      <c r="B28" s="1" t="str">
        <f t="shared" si="0"/>
        <v>02.01.2020</v>
      </c>
      <c r="C28" s="1" t="str">
        <f t="shared" si="1"/>
        <v>Закрито</v>
      </c>
      <c r="D28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8" s="1" t="str">
        <f>"Земельні питання"</f>
        <v>Земельні питання</v>
      </c>
      <c r="F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" s="1" t="str">
        <f>"14"</f>
        <v>14</v>
      </c>
      <c r="H28" s="1" t="str">
        <f>"Результат"</f>
        <v>Результат</v>
      </c>
      <c r="I28" s="1" t="str">
        <f>"Позитивний"</f>
        <v>Позитивний</v>
      </c>
      <c r="J28" s="1" t="str">
        <f>"Ні"</f>
        <v>Ні</v>
      </c>
    </row>
    <row r="29" spans="1:10" ht="45" x14ac:dyDescent="0.25">
      <c r="A29" s="1" t="str">
        <f>"15-2020/27"</f>
        <v>15-2020/27</v>
      </c>
      <c r="B29" s="1" t="str">
        <f t="shared" si="0"/>
        <v>02.01.2020</v>
      </c>
      <c r="C29" s="1" t="str">
        <f t="shared" si="1"/>
        <v>Закрито</v>
      </c>
      <c r="D29" s="1" t="str">
        <f>"Реєстрація місця проживання особи"</f>
        <v>Реєстрація місця проживання особи</v>
      </c>
      <c r="E29" s="1" t="str">
        <f>"Реєстрація місця проживання"</f>
        <v>Реєстрація місця проживання</v>
      </c>
      <c r="F29" s="1" t="str">
        <f>"Відділ реєстрації Новокаховської міської ради"</f>
        <v>Відділ реєстрації Новокаховської міської ради</v>
      </c>
      <c r="G29" s="1" t="str">
        <f>"1"</f>
        <v>1</v>
      </c>
      <c r="H29" s="1" t="str">
        <f>"Результат"</f>
        <v>Результат</v>
      </c>
      <c r="I29" s="1" t="str">
        <f>"Мотивована відмова"</f>
        <v>Мотивована відмова</v>
      </c>
      <c r="J29" s="1" t="str">
        <f>"Так"</f>
        <v>Так</v>
      </c>
    </row>
    <row r="30" spans="1:10" ht="90" x14ac:dyDescent="0.25">
      <c r="A30" s="1" t="str">
        <f>"4-2020/27"</f>
        <v>4-2020/27</v>
      </c>
      <c r="B30" s="1" t="str">
        <f t="shared" si="0"/>
        <v>02.01.2020</v>
      </c>
      <c r="C30" s="1" t="str">
        <f t="shared" si="1"/>
        <v>Закрито</v>
      </c>
      <c r="D30" s="1" t="str">
        <f>"Державна реєстрація рішення про відміну рішення про припинення громадського об'єднання"</f>
        <v>Державна реєстрація рішення про відміну рішення про припинення громадського об'єднання</v>
      </c>
      <c r="E30" s="1" t="str">
        <f>"Державна реєстрація громадських об’єднань"</f>
        <v>Державна реєстрація громадських об’єднань</v>
      </c>
      <c r="F30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30" s="1" t="str">
        <f>"3"</f>
        <v>3</v>
      </c>
      <c r="H30" s="1" t="str">
        <f>"Результат"</f>
        <v>Результат</v>
      </c>
      <c r="I30" s="1" t="str">
        <f>"Мотивована відмова"</f>
        <v>Мотивована відмова</v>
      </c>
      <c r="J30" s="1" t="str">
        <f>"Ні"</f>
        <v>Ні</v>
      </c>
    </row>
    <row r="31" spans="1:10" ht="45" x14ac:dyDescent="0.25">
      <c r="A31" s="1" t="str">
        <f>"11-2020/27"</f>
        <v>11-2020/27</v>
      </c>
      <c r="B31" s="1" t="str">
        <f t="shared" si="0"/>
        <v>02.01.2020</v>
      </c>
      <c r="C31" s="1" t="str">
        <f t="shared" si="1"/>
        <v>Закрито</v>
      </c>
      <c r="D31" s="1" t="str">
        <f>"Реєстрація місця проживання особи"</f>
        <v>Реєстрація місця проживання особи</v>
      </c>
      <c r="E31" s="1" t="str">
        <f>"Реєстрація місця проживання"</f>
        <v>Реєстрація місця проживання</v>
      </c>
      <c r="F31" s="1" t="str">
        <f>"Відділ реєстрації Новокаховської міської ради"</f>
        <v>Відділ реєстрації Новокаховської міської ради</v>
      </c>
      <c r="G31" s="1" t="str">
        <f>"1"</f>
        <v>1</v>
      </c>
      <c r="H31" s="1" t="str">
        <f>"Результат"</f>
        <v>Результат</v>
      </c>
      <c r="I31" s="1" t="str">
        <f>"Мотивована відмова"</f>
        <v>Мотивована відмова</v>
      </c>
      <c r="J31" s="1" t="str">
        <f>"Так"</f>
        <v>Так</v>
      </c>
    </row>
    <row r="32" spans="1:10" ht="45" x14ac:dyDescent="0.25">
      <c r="A32" s="1" t="str">
        <f>"1/К-2020/01/27"</f>
        <v>1/К-2020/01/27</v>
      </c>
      <c r="B32" s="1" t="str">
        <f t="shared" si="0"/>
        <v>02.01.2020</v>
      </c>
      <c r="C32" s="1" t="str">
        <f t="shared" si="1"/>
        <v>Закрито</v>
      </c>
      <c r="D32" s="1" t="str">
        <f>"Зняття з реєстрації місця проживання"</f>
        <v>Зняття з реєстрації місця проживання</v>
      </c>
      <c r="E32" s="1" t="str">
        <f>"Реєстрація місця проживання"</f>
        <v>Реєстрація місця проживання</v>
      </c>
      <c r="F32" s="1" t="str">
        <f>"Відділ реєстрації Новокаховської міської ради"</f>
        <v>Відділ реєстрації Новокаховської міської ради</v>
      </c>
      <c r="G32" s="1" t="str">
        <f>"1"</f>
        <v>1</v>
      </c>
      <c r="H32" s="1" t="str">
        <f>"Результат"</f>
        <v>Результат</v>
      </c>
      <c r="I32" s="1" t="str">
        <f>"Позитивний"</f>
        <v>Позитивний</v>
      </c>
      <c r="J32" s="1" t="str">
        <f>"Так"</f>
        <v>Так</v>
      </c>
    </row>
    <row r="33" spans="1:10" ht="45" x14ac:dyDescent="0.25">
      <c r="A33" s="1" t="str">
        <f>"8105-2020/27"</f>
        <v>8105-2020/27</v>
      </c>
      <c r="B33" s="1" t="str">
        <f t="shared" si="0"/>
        <v>02.01.2020</v>
      </c>
      <c r="C33" s="1" t="str">
        <f t="shared" si="1"/>
        <v>Закрито</v>
      </c>
      <c r="D33" s="1" t="str">
        <f>"Реєстрація місця проживання особи"</f>
        <v>Реєстрація місця проживання особи</v>
      </c>
      <c r="E33" s="1" t="str">
        <f>"Реєстрація місця проживання"</f>
        <v>Реєстрація місця проживання</v>
      </c>
      <c r="F33" s="1" t="str">
        <f>"Відділ реєстрації Новокаховської міської ради"</f>
        <v>Відділ реєстрації Новокаховської міської ради</v>
      </c>
      <c r="G33" s="1" t="str">
        <f>"1"</f>
        <v>1</v>
      </c>
      <c r="H33" s="1" t="str">
        <f>"РезультатРезультат"</f>
        <v>РезультатРезультат</v>
      </c>
      <c r="I33" s="1" t="str">
        <f>"ПозитивнийПозитивний"</f>
        <v>ПозитивнийПозитивний</v>
      </c>
      <c r="J33" s="1" t="str">
        <f>"Так"</f>
        <v>Так</v>
      </c>
    </row>
    <row r="34" spans="1:10" ht="45" x14ac:dyDescent="0.25">
      <c r="A34" s="1" t="str">
        <f>"8106-2020/27"</f>
        <v>8106-2020/27</v>
      </c>
      <c r="B34" s="1" t="str">
        <f t="shared" si="0"/>
        <v>02.01.2020</v>
      </c>
      <c r="C34" s="1" t="str">
        <f t="shared" si="1"/>
        <v>Закрито</v>
      </c>
      <c r="D34" s="1" t="str">
        <f>"Зняття з реєстрації місця проживання"</f>
        <v>Зняття з реєстрації місця проживання</v>
      </c>
      <c r="E34" s="1" t="str">
        <f>"Реєстрація місця проживання"</f>
        <v>Реєстрація місця проживання</v>
      </c>
      <c r="F34" s="1" t="str">
        <f>"Відділ реєстрації Новокаховської міської ради"</f>
        <v>Відділ реєстрації Новокаховської міської ради</v>
      </c>
      <c r="G34" s="1" t="str">
        <f>"1"</f>
        <v>1</v>
      </c>
      <c r="H34" s="1" t="str">
        <f>"Результат"</f>
        <v>Результат</v>
      </c>
      <c r="I34" s="1" t="str">
        <f>"Мотивована відмова"</f>
        <v>Мотивована відмова</v>
      </c>
      <c r="J34" s="1" t="str">
        <f>"Ні"</f>
        <v>Ні</v>
      </c>
    </row>
    <row r="35" spans="1:10" ht="45" x14ac:dyDescent="0.25">
      <c r="A35" s="1" t="str">
        <f>"3/К-2020/01/27"</f>
        <v>3/К-2020/01/27</v>
      </c>
      <c r="B35" s="1" t="str">
        <f t="shared" si="0"/>
        <v>02.01.2020</v>
      </c>
      <c r="C35" s="1" t="str">
        <f t="shared" si="1"/>
        <v>Закрито</v>
      </c>
      <c r="D35" s="1" t="str">
        <f>"Зняття з реєстрації місця проживання"</f>
        <v>Зняття з реєстрації місця проживання</v>
      </c>
      <c r="E35" s="1" t="str">
        <f>"Реєстрація місця проживання"</f>
        <v>Реєстрація місця проживання</v>
      </c>
      <c r="F35" s="1" t="str">
        <f>"Відділ реєстрації Новокаховської міської ради"</f>
        <v>Відділ реєстрації Новокаховської міської ради</v>
      </c>
      <c r="G35" s="1" t="str">
        <f>"1"</f>
        <v>1</v>
      </c>
      <c r="H35" s="1" t="str">
        <f>"Результат"</f>
        <v>Результат</v>
      </c>
      <c r="I35" s="1" t="str">
        <f t="shared" ref="I35:I53" si="2">"Позитивний"</f>
        <v>Позитивний</v>
      </c>
      <c r="J35" s="1" t="str">
        <f>"Ні"</f>
        <v>Ні</v>
      </c>
    </row>
    <row r="36" spans="1:10" ht="135" x14ac:dyDescent="0.25">
      <c r="A36" s="1" t="str">
        <f>"29-2020/27"</f>
        <v>29-2020/27</v>
      </c>
      <c r="B36" s="1" t="str">
        <f t="shared" si="0"/>
        <v>02.01.2020</v>
      </c>
      <c r="C36" s="1" t="str">
        <f t="shared" si="1"/>
        <v>Закрито</v>
      </c>
      <c r="D3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6" s="1" t="str">
        <f>"Земельні питання"</f>
        <v>Земельні питання</v>
      </c>
      <c r="F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6" s="1" t="str">
        <f>"3"</f>
        <v>3</v>
      </c>
      <c r="H36" s="1" t="str">
        <f>"Результат"</f>
        <v>Результат</v>
      </c>
      <c r="I36" s="1" t="str">
        <f t="shared" si="2"/>
        <v>Позитивний</v>
      </c>
      <c r="J36" s="1" t="str">
        <f>"Ні"</f>
        <v>Ні</v>
      </c>
    </row>
    <row r="37" spans="1:10" ht="45" x14ac:dyDescent="0.25">
      <c r="A37" s="1" t="str">
        <f>"31-2020/27"</f>
        <v>31-2020/27</v>
      </c>
      <c r="B37" s="1" t="str">
        <f t="shared" ref="B37:B50" si="3">"03.01.2020"</f>
        <v>03.01.2020</v>
      </c>
      <c r="C37" s="1" t="str">
        <f t="shared" si="1"/>
        <v>Закрито</v>
      </c>
      <c r="D37" s="1" t="str">
        <f>"Реєстрація місця проживання особи"</f>
        <v>Реєстрація місця проживання особи</v>
      </c>
      <c r="E37" s="1" t="str">
        <f>"Реєстрація місця проживання"</f>
        <v>Реєстрація місця проживання</v>
      </c>
      <c r="F37" s="1" t="str">
        <f>"Відділ реєстрації Новокаховської міської ради"</f>
        <v>Відділ реєстрації Новокаховської міської ради</v>
      </c>
      <c r="G37" s="1" t="str">
        <f>"1"</f>
        <v>1</v>
      </c>
      <c r="H37" s="1" t="str">
        <f>"Результат"</f>
        <v>Результат</v>
      </c>
      <c r="I37" s="1" t="str">
        <f t="shared" si="2"/>
        <v>Позитивний</v>
      </c>
      <c r="J37" s="1" t="str">
        <f>"Так"</f>
        <v>Так</v>
      </c>
    </row>
    <row r="38" spans="1:10" ht="60" x14ac:dyDescent="0.25">
      <c r="A38" s="1" t="str">
        <f>"43-2020/27"</f>
        <v>43-2020/27</v>
      </c>
      <c r="B38" s="1" t="str">
        <f t="shared" si="3"/>
        <v>03.01.2020</v>
      </c>
      <c r="C38" s="1" t="str">
        <f t="shared" si="1"/>
        <v>Закрито</v>
      </c>
      <c r="D38" s="1" t="str">
        <f>"Державна реєстрація створення громадського об’єднання"</f>
        <v>Державна реєстрація створення громадського об’єднання</v>
      </c>
      <c r="E38" s="1" t="str">
        <f>"Державна реєстрація громадських об’єднань"</f>
        <v>Державна реєстрація громадських об’єднань</v>
      </c>
      <c r="F38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38" s="1" t="str">
        <f>"3"</f>
        <v>3</v>
      </c>
      <c r="H38" s="1" t="str">
        <f>"Результат"</f>
        <v>Результат</v>
      </c>
      <c r="I38" s="1" t="str">
        <f t="shared" si="2"/>
        <v>Позитивний</v>
      </c>
      <c r="J38" s="1" t="str">
        <f>"Ні"</f>
        <v>Ні</v>
      </c>
    </row>
    <row r="39" spans="1:10" ht="45" x14ac:dyDescent="0.25">
      <c r="A39" s="1" t="str">
        <f>"40-2020/27"</f>
        <v>40-2020/27</v>
      </c>
      <c r="B39" s="1" t="str">
        <f t="shared" si="3"/>
        <v>03.01.2020</v>
      </c>
      <c r="C39" s="1" t="str">
        <f t="shared" si="1"/>
        <v>Закрито</v>
      </c>
      <c r="D39" s="1" t="str">
        <f>"Зняття з реєстрації місця проживання"</f>
        <v>Зняття з реєстрації місця проживання</v>
      </c>
      <c r="E39" s="1" t="str">
        <f>"Реєстрація місця проживання"</f>
        <v>Реєстрація місця проживання</v>
      </c>
      <c r="F39" s="1" t="str">
        <f>"Відділ реєстрації Новокаховської міської ради"</f>
        <v>Відділ реєстрації Новокаховської міської ради</v>
      </c>
      <c r="G39" s="1" t="str">
        <f>"1"</f>
        <v>1</v>
      </c>
      <c r="H39" s="1" t="str">
        <f>"Результат"</f>
        <v>Результат</v>
      </c>
      <c r="I39" s="1" t="str">
        <f t="shared" si="2"/>
        <v>Позитивний</v>
      </c>
      <c r="J39" s="1" t="str">
        <f>"Так"</f>
        <v>Так</v>
      </c>
    </row>
    <row r="40" spans="1:10" ht="45" x14ac:dyDescent="0.25">
      <c r="A40" s="1" t="str">
        <f>"37-2020/27"</f>
        <v>37-2020/27</v>
      </c>
      <c r="B40" s="1" t="str">
        <f t="shared" si="3"/>
        <v>03.01.2020</v>
      </c>
      <c r="C40" s="1" t="str">
        <f t="shared" si="1"/>
        <v>Закрито</v>
      </c>
      <c r="D40" s="1" t="str">
        <f>"Реєстрація місця проживання особи"</f>
        <v>Реєстрація місця проживання особи</v>
      </c>
      <c r="E40" s="1" t="str">
        <f>"Реєстрація місця проживання"</f>
        <v>Реєстрація місця проживання</v>
      </c>
      <c r="F40" s="1" t="str">
        <f>"Відділ реєстрації Новокаховської міської ради"</f>
        <v>Відділ реєстрації Новокаховської міської ради</v>
      </c>
      <c r="G40" s="1" t="str">
        <f>"1"</f>
        <v>1</v>
      </c>
      <c r="H40" s="1" t="str">
        <f>"Результат"</f>
        <v>Результат</v>
      </c>
      <c r="I40" s="1" t="str">
        <f t="shared" si="2"/>
        <v>Позитивний</v>
      </c>
      <c r="J40" s="1" t="str">
        <f>"Так"</f>
        <v>Так</v>
      </c>
    </row>
    <row r="41" spans="1:10" ht="45" x14ac:dyDescent="0.25">
      <c r="A41" s="1" t="str">
        <f>"32-2020/27"</f>
        <v>32-2020/27</v>
      </c>
      <c r="B41" s="1" t="str">
        <f t="shared" si="3"/>
        <v>03.01.2020</v>
      </c>
      <c r="C41" s="1" t="str">
        <f t="shared" si="1"/>
        <v>Закрито</v>
      </c>
      <c r="D41" s="1" t="str">
        <f>"Реєстрація місця проживання особи"</f>
        <v>Реєстрація місця проживання особи</v>
      </c>
      <c r="E41" s="1" t="str">
        <f>"Реєстрація місця проживання"</f>
        <v>Реєстрація місця проживання</v>
      </c>
      <c r="F41" s="1" t="str">
        <f>"Відділ реєстрації Новокаховської міської ради"</f>
        <v>Відділ реєстрації Новокаховської міської ради</v>
      </c>
      <c r="G41" s="1" t="str">
        <f>"1"</f>
        <v>1</v>
      </c>
      <c r="H41" s="1" t="str">
        <f>"Результат"</f>
        <v>Результат</v>
      </c>
      <c r="I41" s="1" t="str">
        <f t="shared" si="2"/>
        <v>Позитивний</v>
      </c>
      <c r="J41" s="1" t="str">
        <f>"Так"</f>
        <v>Так</v>
      </c>
    </row>
    <row r="42" spans="1:10" ht="90" x14ac:dyDescent="0.25">
      <c r="A42" s="1" t="str">
        <f>"41-2020/27"</f>
        <v>41-2020/27</v>
      </c>
      <c r="B42" s="1" t="str">
        <f t="shared" si="3"/>
        <v>03.01.2020</v>
      </c>
      <c r="C42" s="1" t="str">
        <f t="shared" si="1"/>
        <v>Закрито</v>
      </c>
      <c r="D4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2" s="1" t="str">
        <f>"Інші послуги"</f>
        <v>Інші послуги</v>
      </c>
      <c r="F4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2" s="1" t="str">
        <f>"5"</f>
        <v>5</v>
      </c>
      <c r="H42" s="1" t="str">
        <f>"Результат"</f>
        <v>Результат</v>
      </c>
      <c r="I42" s="1" t="str">
        <f t="shared" si="2"/>
        <v>Позитивний</v>
      </c>
      <c r="J42" s="1" t="str">
        <f>"Ні"</f>
        <v>Ні</v>
      </c>
    </row>
    <row r="43" spans="1:10" ht="90" x14ac:dyDescent="0.25">
      <c r="A43" s="1" t="str">
        <f>"44-2020/27"</f>
        <v>44-2020/27</v>
      </c>
      <c r="B43" s="1" t="str">
        <f t="shared" si="3"/>
        <v>03.01.2020</v>
      </c>
      <c r="C43" s="1" t="str">
        <f t="shared" si="1"/>
        <v>Закрито</v>
      </c>
      <c r="D4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3" s="1" t="str">
        <f>"Інші послуги"</f>
        <v>Інші послуги</v>
      </c>
      <c r="F4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3" s="1" t="str">
        <f>"5"</f>
        <v>5</v>
      </c>
      <c r="H43" s="1" t="str">
        <f>"Результат"</f>
        <v>Результат</v>
      </c>
      <c r="I43" s="1" t="str">
        <f t="shared" si="2"/>
        <v>Позитивний</v>
      </c>
      <c r="J43" s="1" t="str">
        <f>"Ні"</f>
        <v>Ні</v>
      </c>
    </row>
    <row r="44" spans="1:10" ht="45" x14ac:dyDescent="0.25">
      <c r="A44" s="1" t="str">
        <f>"34-2020/27"</f>
        <v>34-2020/27</v>
      </c>
      <c r="B44" s="1" t="str">
        <f t="shared" si="3"/>
        <v>03.01.2020</v>
      </c>
      <c r="C44" s="1" t="str">
        <f t="shared" si="1"/>
        <v>Закрито</v>
      </c>
      <c r="D44" s="1" t="str">
        <f>"Реєстрація місця проживання особи"</f>
        <v>Реєстрація місця проживання особи</v>
      </c>
      <c r="E44" s="1" t="str">
        <f>"Реєстрація місця проживання"</f>
        <v>Реєстрація місця проживання</v>
      </c>
      <c r="F44" s="1" t="str">
        <f>"Відділ реєстрації Новокаховської міської ради"</f>
        <v>Відділ реєстрації Новокаховської міської ради</v>
      </c>
      <c r="G44" s="1" t="str">
        <f>"1"</f>
        <v>1</v>
      </c>
      <c r="H44" s="1" t="str">
        <f>"Результат"</f>
        <v>Результат</v>
      </c>
      <c r="I44" s="1" t="str">
        <f t="shared" si="2"/>
        <v>Позитивний</v>
      </c>
      <c r="J44" s="1" t="str">
        <f>"Так"</f>
        <v>Так</v>
      </c>
    </row>
    <row r="45" spans="1:10" ht="45" x14ac:dyDescent="0.25">
      <c r="A45" s="1" t="str">
        <f>"35-2020/27"</f>
        <v>35-2020/27</v>
      </c>
      <c r="B45" s="1" t="str">
        <f t="shared" si="3"/>
        <v>03.01.2020</v>
      </c>
      <c r="C45" s="1" t="str">
        <f t="shared" si="1"/>
        <v>Закрито</v>
      </c>
      <c r="D45" s="1" t="str">
        <f>"Реєстрація місця проживання особи"</f>
        <v>Реєстрація місця проживання особи</v>
      </c>
      <c r="E45" s="1" t="str">
        <f>"Реєстрація місця проживання"</f>
        <v>Реєстрація місця проживання</v>
      </c>
      <c r="F45" s="1" t="str">
        <f>"Відділ реєстрації Новокаховської міської ради"</f>
        <v>Відділ реєстрації Новокаховської міської ради</v>
      </c>
      <c r="G45" s="1" t="str">
        <f>"1"</f>
        <v>1</v>
      </c>
      <c r="H45" s="1" t="str">
        <f>"Результат"</f>
        <v>Результат</v>
      </c>
      <c r="I45" s="1" t="str">
        <f t="shared" si="2"/>
        <v>Позитивний</v>
      </c>
      <c r="J45" s="1" t="str">
        <f>"Так"</f>
        <v>Так</v>
      </c>
    </row>
    <row r="46" spans="1:10" ht="45" x14ac:dyDescent="0.25">
      <c r="A46" s="1" t="str">
        <f>"38-2020/27"</f>
        <v>38-2020/27</v>
      </c>
      <c r="B46" s="1" t="str">
        <f t="shared" si="3"/>
        <v>03.01.2020</v>
      </c>
      <c r="C46" s="1" t="str">
        <f t="shared" si="1"/>
        <v>Закрито</v>
      </c>
      <c r="D46" s="1" t="str">
        <f>"Реєстрація місця проживання особи"</f>
        <v>Реєстрація місця проживання особи</v>
      </c>
      <c r="E46" s="1" t="str">
        <f>"Реєстрація місця проживання"</f>
        <v>Реєстрація місця проживання</v>
      </c>
      <c r="F46" s="1" t="str">
        <f>"Відділ реєстрації Новокаховської міської ради"</f>
        <v>Відділ реєстрації Новокаховської міської ради</v>
      </c>
      <c r="G46" s="1" t="str">
        <f>"1"</f>
        <v>1</v>
      </c>
      <c r="H46" s="1" t="str">
        <f>"Результат"</f>
        <v>Результат</v>
      </c>
      <c r="I46" s="1" t="str">
        <f t="shared" si="2"/>
        <v>Позитивний</v>
      </c>
      <c r="J46" s="1" t="str">
        <f>"Так"</f>
        <v>Так</v>
      </c>
    </row>
    <row r="47" spans="1:10" ht="90" x14ac:dyDescent="0.25">
      <c r="A47" s="1" t="str">
        <f>"42-2020/27"</f>
        <v>42-2020/27</v>
      </c>
      <c r="B47" s="1" t="str">
        <f t="shared" si="3"/>
        <v>03.01.2020</v>
      </c>
      <c r="C47" s="1" t="str">
        <f t="shared" si="1"/>
        <v>Закрито</v>
      </c>
      <c r="D4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7" s="1" t="str">
        <f>"Інші послуги"</f>
        <v>Інші послуги</v>
      </c>
      <c r="F4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7" s="1" t="str">
        <f>"5"</f>
        <v>5</v>
      </c>
      <c r="H47" s="1" t="str">
        <f>"Результат"</f>
        <v>Результат</v>
      </c>
      <c r="I47" s="1" t="str">
        <f t="shared" si="2"/>
        <v>Позитивний</v>
      </c>
      <c r="J47" s="1" t="str">
        <f>"Ні"</f>
        <v>Ні</v>
      </c>
    </row>
    <row r="48" spans="1:10" ht="90" x14ac:dyDescent="0.25">
      <c r="A48" s="1" t="str">
        <f>"33-2020/27"</f>
        <v>33-2020/27</v>
      </c>
      <c r="B48" s="1" t="str">
        <f t="shared" si="3"/>
        <v>03.01.2020</v>
      </c>
      <c r="C48" s="1" t="str">
        <f t="shared" si="1"/>
        <v>Закрито</v>
      </c>
      <c r="D4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8" s="1" t="str">
        <f>"Інші послуги"</f>
        <v>Інші послуги</v>
      </c>
      <c r="F4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8" s="1" t="str">
        <f>"5"</f>
        <v>5</v>
      </c>
      <c r="H48" s="1" t="str">
        <f>"Результат"</f>
        <v>Результат</v>
      </c>
      <c r="I48" s="1" t="str">
        <f t="shared" si="2"/>
        <v>Позитивний</v>
      </c>
      <c r="J48" s="1" t="str">
        <f>"Ні"</f>
        <v>Ні</v>
      </c>
    </row>
    <row r="49" spans="1:10" ht="45" x14ac:dyDescent="0.25">
      <c r="A49" s="1" t="str">
        <f>"39-2020/27"</f>
        <v>39-2020/27</v>
      </c>
      <c r="B49" s="1" t="str">
        <f t="shared" si="3"/>
        <v>03.01.2020</v>
      </c>
      <c r="C49" s="1" t="str">
        <f t="shared" si="1"/>
        <v>Закрито</v>
      </c>
      <c r="D49" s="1" t="str">
        <f>"Реєстрація місця проживання особи"</f>
        <v>Реєстрація місця проживання особи</v>
      </c>
      <c r="E49" s="1" t="str">
        <f>"Реєстрація місця проживання"</f>
        <v>Реєстрація місця проживання</v>
      </c>
      <c r="F49" s="1" t="str">
        <f>"Відділ реєстрації Новокаховської міської ради"</f>
        <v>Відділ реєстрації Новокаховської міської ради</v>
      </c>
      <c r="G49" s="1" t="str">
        <f t="shared" ref="G49:G60" si="4">"1"</f>
        <v>1</v>
      </c>
      <c r="H49" s="1" t="str">
        <f>"Результат"</f>
        <v>Результат</v>
      </c>
      <c r="I49" s="1" t="str">
        <f t="shared" si="2"/>
        <v>Позитивний</v>
      </c>
      <c r="J49" s="1" t="str">
        <f>"Так"</f>
        <v>Так</v>
      </c>
    </row>
    <row r="50" spans="1:10" ht="45" x14ac:dyDescent="0.25">
      <c r="A50" s="1" t="str">
        <f>"36-2020/27"</f>
        <v>36-2020/27</v>
      </c>
      <c r="B50" s="1" t="str">
        <f t="shared" si="3"/>
        <v>03.01.2020</v>
      </c>
      <c r="C50" s="1" t="str">
        <f t="shared" si="1"/>
        <v>Закрито</v>
      </c>
      <c r="D50" s="1" t="str">
        <f>"Зняття з реєстрації місця проживання"</f>
        <v>Зняття з реєстрації місця проживання</v>
      </c>
      <c r="E50" s="1" t="str">
        <f>"Реєстрація місця проживання"</f>
        <v>Реєстрація місця проживання</v>
      </c>
      <c r="F50" s="1" t="str">
        <f>"Відділ реєстрації Новокаховської міської ради"</f>
        <v>Відділ реєстрації Новокаховської міської ради</v>
      </c>
      <c r="G50" s="1" t="str">
        <f t="shared" si="4"/>
        <v>1</v>
      </c>
      <c r="H50" s="1" t="str">
        <f>"Результат"</f>
        <v>Результат</v>
      </c>
      <c r="I50" s="1" t="str">
        <f t="shared" si="2"/>
        <v>Позитивний</v>
      </c>
      <c r="J50" s="1" t="str">
        <f>"Так"</f>
        <v>Так</v>
      </c>
    </row>
    <row r="51" spans="1:10" ht="105" x14ac:dyDescent="0.25">
      <c r="A51" s="1" t="str">
        <f>"70-2020/27"</f>
        <v>70-2020/27</v>
      </c>
      <c r="B51" s="1" t="str">
        <f t="shared" ref="B51:B75" si="5">"08.01.2020"</f>
        <v>08.01.2020</v>
      </c>
      <c r="C51" s="1" t="str">
        <f t="shared" si="1"/>
        <v>Закрито</v>
      </c>
      <c r="D5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1" s="1" t="str">
        <f>"Земельні питання"</f>
        <v>Земельні питання</v>
      </c>
      <c r="F5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51" s="1" t="str">
        <f t="shared" si="4"/>
        <v>1</v>
      </c>
      <c r="H51" s="1" t="str">
        <f>"Результат"</f>
        <v>Результат</v>
      </c>
      <c r="I51" s="1" t="str">
        <f t="shared" si="2"/>
        <v>Позитивний</v>
      </c>
      <c r="J51" s="1" t="str">
        <f>"Ні"</f>
        <v>Ні</v>
      </c>
    </row>
    <row r="52" spans="1:10" ht="135" x14ac:dyDescent="0.25">
      <c r="A52" s="1" t="str">
        <f>"63-2020/27"</f>
        <v>63-2020/27</v>
      </c>
      <c r="B52" s="1" t="str">
        <f t="shared" si="5"/>
        <v>08.01.2020</v>
      </c>
      <c r="C52" s="1" t="str">
        <f t="shared" si="1"/>
        <v>Закрито</v>
      </c>
      <c r="D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2" s="1" t="str">
        <f>"Земельні питання"</f>
        <v>Земельні питання</v>
      </c>
      <c r="F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" s="1" t="str">
        <f t="shared" si="4"/>
        <v>1</v>
      </c>
      <c r="H52" s="1" t="str">
        <f>"Результат"</f>
        <v>Результат</v>
      </c>
      <c r="I52" s="1" t="str">
        <f t="shared" si="2"/>
        <v>Позитивний</v>
      </c>
      <c r="J52" s="1" t="str">
        <f>"Так"</f>
        <v>Так</v>
      </c>
    </row>
    <row r="53" spans="1:10" ht="45" x14ac:dyDescent="0.25">
      <c r="A53" s="1" t="str">
        <f>"53-2020/27"</f>
        <v>53-2020/27</v>
      </c>
      <c r="B53" s="1" t="str">
        <f t="shared" si="5"/>
        <v>08.01.2020</v>
      </c>
      <c r="C53" s="1" t="str">
        <f t="shared" si="1"/>
        <v>Закрито</v>
      </c>
      <c r="D53" s="1" t="str">
        <f>"Реєстрація місця проживання особи"</f>
        <v>Реєстрація місця проживання особи</v>
      </c>
      <c r="E53" s="1" t="str">
        <f>"Реєстрація місця проживання"</f>
        <v>Реєстрація місця проживання</v>
      </c>
      <c r="F53" s="1" t="str">
        <f>"Відділ реєстрації Новокаховської міської ради"</f>
        <v>Відділ реєстрації Новокаховської міської ради</v>
      </c>
      <c r="G53" s="1" t="str">
        <f t="shared" si="4"/>
        <v>1</v>
      </c>
      <c r="H53" s="1" t="str">
        <f>"Результат"</f>
        <v>Результат</v>
      </c>
      <c r="I53" s="1" t="str">
        <f t="shared" si="2"/>
        <v>Позитивний</v>
      </c>
      <c r="J53" s="1" t="str">
        <f>"Так"</f>
        <v>Так</v>
      </c>
    </row>
    <row r="54" spans="1:10" ht="45" x14ac:dyDescent="0.25">
      <c r="A54" s="1" t="str">
        <f>"55-2020/27"</f>
        <v>55-2020/27</v>
      </c>
      <c r="B54" s="1" t="str">
        <f t="shared" si="5"/>
        <v>08.01.2020</v>
      </c>
      <c r="C54" s="1" t="str">
        <f t="shared" si="1"/>
        <v>Закрито</v>
      </c>
      <c r="D54" s="1" t="str">
        <f>"Реєстрація місця проживання особи"</f>
        <v>Реєстрація місця проживання особи</v>
      </c>
      <c r="E54" s="1" t="str">
        <f>"Реєстрація місця проживання"</f>
        <v>Реєстрація місця проживання</v>
      </c>
      <c r="F54" s="1" t="str">
        <f>"Відділ реєстрації Новокаховської міської ради"</f>
        <v>Відділ реєстрації Новокаховської міської ради</v>
      </c>
      <c r="G54" s="1" t="str">
        <f t="shared" si="4"/>
        <v>1</v>
      </c>
      <c r="H54" s="1" t="str">
        <f>"Результат"</f>
        <v>Результат</v>
      </c>
      <c r="I54" s="1" t="str">
        <f>"Мотивована відмова"</f>
        <v>Мотивована відмова</v>
      </c>
      <c r="J54" s="1" t="str">
        <f>"Так"</f>
        <v>Так</v>
      </c>
    </row>
    <row r="55" spans="1:10" ht="45" x14ac:dyDescent="0.25">
      <c r="A55" s="1" t="str">
        <f>"58-2020/27"</f>
        <v>58-2020/27</v>
      </c>
      <c r="B55" s="1" t="str">
        <f t="shared" si="5"/>
        <v>08.01.2020</v>
      </c>
      <c r="C55" s="1" t="str">
        <f t="shared" si="1"/>
        <v>Закрито</v>
      </c>
      <c r="D55" s="1" t="str">
        <f>"Реєстрація місця проживання особи"</f>
        <v>Реєстрація місця проживання особи</v>
      </c>
      <c r="E55" s="1" t="str">
        <f>"Реєстрація місця проживання"</f>
        <v>Реєстрація місця проживання</v>
      </c>
      <c r="F55" s="1" t="str">
        <f>"Відділ реєстрації Новокаховської міської ради"</f>
        <v>Відділ реєстрації Новокаховської міської ради</v>
      </c>
      <c r="G55" s="1" t="str">
        <f t="shared" si="4"/>
        <v>1</v>
      </c>
      <c r="H55" s="1" t="str">
        <f>"Результат"</f>
        <v>Результат</v>
      </c>
      <c r="I55" s="1" t="str">
        <f>"Позитивний"</f>
        <v>Позитивний</v>
      </c>
      <c r="J55" s="1" t="str">
        <f>"Так"</f>
        <v>Так</v>
      </c>
    </row>
    <row r="56" spans="1:10" ht="45" x14ac:dyDescent="0.25">
      <c r="A56" s="1" t="str">
        <f>"52-2020/27"</f>
        <v>52-2020/27</v>
      </c>
      <c r="B56" s="1" t="str">
        <f t="shared" si="5"/>
        <v>08.01.2020</v>
      </c>
      <c r="C56" s="1" t="str">
        <f t="shared" si="1"/>
        <v>Закрито</v>
      </c>
      <c r="D56" s="1" t="str">
        <f>"Зняття з реєстрації місця проживання"</f>
        <v>Зняття з реєстрації місця проживання</v>
      </c>
      <c r="E56" s="1" t="str">
        <f>"Реєстрація місця проживання"</f>
        <v>Реєстрація місця проживання</v>
      </c>
      <c r="F56" s="1" t="str">
        <f>"Відділ реєстрації Новокаховської міської ради"</f>
        <v>Відділ реєстрації Новокаховської міської ради</v>
      </c>
      <c r="G56" s="1" t="str">
        <f t="shared" si="4"/>
        <v>1</v>
      </c>
      <c r="H56" s="1" t="str">
        <f>"Результат"</f>
        <v>Результат</v>
      </c>
      <c r="I56" s="1" t="str">
        <f>"Позитивний"</f>
        <v>Позитивний</v>
      </c>
      <c r="J56" s="1" t="str">
        <f>"Так"</f>
        <v>Так</v>
      </c>
    </row>
    <row r="57" spans="1:10" ht="105" x14ac:dyDescent="0.25">
      <c r="A57" s="1" t="str">
        <f>"68-2020/27"</f>
        <v>68-2020/27</v>
      </c>
      <c r="B57" s="1" t="str">
        <f t="shared" si="5"/>
        <v>08.01.2020</v>
      </c>
      <c r="C57" s="1" t="str">
        <f t="shared" si="1"/>
        <v>Закрито</v>
      </c>
      <c r="D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7" s="1" t="str">
        <f>"Земельні питання"</f>
        <v>Земельні питання</v>
      </c>
      <c r="F5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57" s="1" t="str">
        <f t="shared" si="4"/>
        <v>1</v>
      </c>
      <c r="H57" s="1" t="str">
        <f>"Результат"</f>
        <v>Результат</v>
      </c>
      <c r="I57" s="1" t="str">
        <f>"Позитивний"</f>
        <v>Позитивний</v>
      </c>
      <c r="J57" s="1" t="str">
        <f>"Ні"</f>
        <v>Ні</v>
      </c>
    </row>
    <row r="58" spans="1:10" ht="45" x14ac:dyDescent="0.25">
      <c r="A58" s="1" t="str">
        <f>"45-2020/27"</f>
        <v>45-2020/27</v>
      </c>
      <c r="B58" s="1" t="str">
        <f t="shared" si="5"/>
        <v>08.01.2020</v>
      </c>
      <c r="C58" s="1" t="str">
        <f t="shared" si="1"/>
        <v>Закрито</v>
      </c>
      <c r="D58" s="1" t="str">
        <f>"Реєстрація місця проживання особи"</f>
        <v>Реєстрація місця проживання особи</v>
      </c>
      <c r="E58" s="1" t="str">
        <f>"Реєстрація місця проживання"</f>
        <v>Реєстрація місця проживання</v>
      </c>
      <c r="F58" s="1" t="str">
        <f>"Відділ реєстрації Новокаховської міської ради"</f>
        <v>Відділ реєстрації Новокаховської міської ради</v>
      </c>
      <c r="G58" s="1" t="str">
        <f t="shared" si="4"/>
        <v>1</v>
      </c>
      <c r="H58" s="1" t="str">
        <f>"Результат"</f>
        <v>Результат</v>
      </c>
      <c r="I58" s="1" t="str">
        <f>"Мотивована відмова"</f>
        <v>Мотивована відмова</v>
      </c>
      <c r="J58" s="1" t="str">
        <f>"Так"</f>
        <v>Так</v>
      </c>
    </row>
    <row r="59" spans="1:10" ht="45" x14ac:dyDescent="0.25">
      <c r="A59" s="1" t="str">
        <f>"66-2020/27"</f>
        <v>66-2020/27</v>
      </c>
      <c r="B59" s="1" t="str">
        <f t="shared" si="5"/>
        <v>08.01.2020</v>
      </c>
      <c r="C59" s="1" t="str">
        <f t="shared" si="1"/>
        <v>Закрито</v>
      </c>
      <c r="D59" s="1" t="str">
        <f>"Реєстрація місця проживання особи"</f>
        <v>Реєстрація місця проживання особи</v>
      </c>
      <c r="E59" s="1" t="str">
        <f>"Реєстрація місця проживання"</f>
        <v>Реєстрація місця проживання</v>
      </c>
      <c r="F59" s="1" t="str">
        <f>"Відділ реєстрації Новокаховської міської ради"</f>
        <v>Відділ реєстрації Новокаховської міської ради</v>
      </c>
      <c r="G59" s="1" t="str">
        <f t="shared" si="4"/>
        <v>1</v>
      </c>
      <c r="H59" s="1" t="str">
        <f>"Результат"</f>
        <v>Результат</v>
      </c>
      <c r="I59" s="1" t="str">
        <f t="shared" ref="I59:I69" si="6">"Позитивний"</f>
        <v>Позитивний</v>
      </c>
      <c r="J59" s="1" t="str">
        <f>"Так"</f>
        <v>Так</v>
      </c>
    </row>
    <row r="60" spans="1:10" ht="45" x14ac:dyDescent="0.25">
      <c r="A60" s="1" t="str">
        <f>"59-2020/27"</f>
        <v>59-2020/27</v>
      </c>
      <c r="B60" s="1" t="str">
        <f t="shared" si="5"/>
        <v>08.01.2020</v>
      </c>
      <c r="C60" s="1" t="str">
        <f t="shared" si="1"/>
        <v>Закрито</v>
      </c>
      <c r="D60" s="1" t="str">
        <f>"Реєстрація місця проживання особи"</f>
        <v>Реєстрація місця проживання особи</v>
      </c>
      <c r="E60" s="1" t="str">
        <f>"Реєстрація місця проживання"</f>
        <v>Реєстрація місця проживання</v>
      </c>
      <c r="F60" s="1" t="str">
        <f>"Відділ реєстрації Новокаховської міської ради"</f>
        <v>Відділ реєстрації Новокаховської міської ради</v>
      </c>
      <c r="G60" s="1" t="str">
        <f t="shared" si="4"/>
        <v>1</v>
      </c>
      <c r="H60" s="1" t="str">
        <f>"Результат"</f>
        <v>Результат</v>
      </c>
      <c r="I60" s="1" t="str">
        <f t="shared" si="6"/>
        <v>Позитивний</v>
      </c>
      <c r="J60" s="1" t="str">
        <f>"Так"</f>
        <v>Так</v>
      </c>
    </row>
    <row r="61" spans="1:10" ht="135" x14ac:dyDescent="0.25">
      <c r="A61" s="1" t="str">
        <f>"61-2020/27"</f>
        <v>61-2020/27</v>
      </c>
      <c r="B61" s="1" t="str">
        <f t="shared" si="5"/>
        <v>08.01.2020</v>
      </c>
      <c r="C61" s="1" t="str">
        <f t="shared" si="1"/>
        <v>Закрито</v>
      </c>
      <c r="D6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1" s="1" t="str">
        <f>"Земельні питання"</f>
        <v>Земельні питання</v>
      </c>
      <c r="F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1" s="1" t="str">
        <f>"3"</f>
        <v>3</v>
      </c>
      <c r="H61" s="1" t="str">
        <f>"Результат"</f>
        <v>Результат</v>
      </c>
      <c r="I61" s="1" t="str">
        <f t="shared" si="6"/>
        <v>Позитивний</v>
      </c>
      <c r="J61" s="1" t="str">
        <f>"Ні"</f>
        <v>Ні</v>
      </c>
    </row>
    <row r="62" spans="1:10" ht="45" x14ac:dyDescent="0.25">
      <c r="A62" s="1" t="str">
        <f>"50-2020/27"</f>
        <v>50-2020/27</v>
      </c>
      <c r="B62" s="1" t="str">
        <f t="shared" si="5"/>
        <v>08.01.2020</v>
      </c>
      <c r="C62" s="1" t="str">
        <f t="shared" si="1"/>
        <v>Закрито</v>
      </c>
      <c r="D62" s="1" t="str">
        <f>"Реєстрація місця проживання особи"</f>
        <v>Реєстрація місця проживання особи</v>
      </c>
      <c r="E62" s="1" t="str">
        <f>"Реєстрація місця проживання"</f>
        <v>Реєстрація місця проживання</v>
      </c>
      <c r="F62" s="1" t="str">
        <f>"Відділ реєстрації Новокаховської міської ради"</f>
        <v>Відділ реєстрації Новокаховської міської ради</v>
      </c>
      <c r="G62" s="1" t="str">
        <f>"1"</f>
        <v>1</v>
      </c>
      <c r="H62" s="1" t="str">
        <f>"Результат"</f>
        <v>Результат</v>
      </c>
      <c r="I62" s="1" t="str">
        <f t="shared" si="6"/>
        <v>Позитивний</v>
      </c>
      <c r="J62" s="1" t="str">
        <f>"Так"</f>
        <v>Так</v>
      </c>
    </row>
    <row r="63" spans="1:10" ht="45" x14ac:dyDescent="0.25">
      <c r="A63" s="1" t="str">
        <f>"54-2020/27"</f>
        <v>54-2020/27</v>
      </c>
      <c r="B63" s="1" t="str">
        <f t="shared" si="5"/>
        <v>08.01.2020</v>
      </c>
      <c r="C63" s="1" t="str">
        <f t="shared" si="1"/>
        <v>Закрито</v>
      </c>
      <c r="D63" s="1" t="str">
        <f>"Зняття з реєстрації місця проживання"</f>
        <v>Зняття з реєстрації місця проживання</v>
      </c>
      <c r="E63" s="1" t="str">
        <f>"Реєстрація місця проживання"</f>
        <v>Реєстрація місця проживання</v>
      </c>
      <c r="F63" s="1" t="str">
        <f>"Відділ реєстрації Новокаховської міської ради"</f>
        <v>Відділ реєстрації Новокаховської міської ради</v>
      </c>
      <c r="G63" s="1" t="str">
        <f>"1"</f>
        <v>1</v>
      </c>
      <c r="H63" s="1" t="str">
        <f>"Результат"</f>
        <v>Результат</v>
      </c>
      <c r="I63" s="1" t="str">
        <f t="shared" si="6"/>
        <v>Позитивний</v>
      </c>
      <c r="J63" s="1" t="str">
        <f>"Так"</f>
        <v>Так</v>
      </c>
    </row>
    <row r="64" spans="1:10" ht="120" x14ac:dyDescent="0.25">
      <c r="A64" s="1" t="str">
        <f>"56-2020/27"</f>
        <v>56-2020/27</v>
      </c>
      <c r="B64" s="1" t="str">
        <f t="shared" si="5"/>
        <v>08.01.2020</v>
      </c>
      <c r="C64" s="1" t="str">
        <f t="shared" si="1"/>
        <v>Закрито</v>
      </c>
      <c r="D64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64" s="1" t="str">
        <f>"Будівництво"</f>
        <v>Будівництво</v>
      </c>
      <c r="F6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64" s="1" t="str">
        <f>"10"</f>
        <v>10</v>
      </c>
      <c r="H64" s="1" t="str">
        <f>"Результат"</f>
        <v>Результат</v>
      </c>
      <c r="I64" s="1" t="str">
        <f t="shared" si="6"/>
        <v>Позитивний</v>
      </c>
      <c r="J64" s="1" t="str">
        <f>"Ні"</f>
        <v>Ні</v>
      </c>
    </row>
    <row r="65" spans="1:10" ht="45" x14ac:dyDescent="0.25">
      <c r="A65" s="1" t="str">
        <f>"67-2020/27"</f>
        <v>67-2020/27</v>
      </c>
      <c r="B65" s="1" t="str">
        <f t="shared" si="5"/>
        <v>08.01.2020</v>
      </c>
      <c r="C65" s="1" t="str">
        <f t="shared" si="1"/>
        <v>Закрито</v>
      </c>
      <c r="D65" s="1" t="str">
        <f>"Реєстрація місця проживання особи"</f>
        <v>Реєстрація місця проживання особи</v>
      </c>
      <c r="E65" s="1" t="str">
        <f>"Реєстрація місця проживання"</f>
        <v>Реєстрація місця проживання</v>
      </c>
      <c r="F65" s="1" t="str">
        <f>"Відділ реєстрації Новокаховської міської ради"</f>
        <v>Відділ реєстрації Новокаховської міської ради</v>
      </c>
      <c r="G65" s="1" t="str">
        <f>"1"</f>
        <v>1</v>
      </c>
      <c r="H65" s="1" t="str">
        <f>"Результат"</f>
        <v>Результат</v>
      </c>
      <c r="I65" s="1" t="str">
        <f t="shared" si="6"/>
        <v>Позитивний</v>
      </c>
      <c r="J65" s="1" t="str">
        <f>"Так"</f>
        <v>Так</v>
      </c>
    </row>
    <row r="66" spans="1:10" ht="90" x14ac:dyDescent="0.25">
      <c r="A66" s="1" t="str">
        <f>"51-2020/27"</f>
        <v>51-2020/27</v>
      </c>
      <c r="B66" s="1" t="str">
        <f t="shared" si="5"/>
        <v>08.01.2020</v>
      </c>
      <c r="C66" s="1" t="str">
        <f t="shared" ref="C66:C129" si="7">"Закрито"</f>
        <v>Закрито</v>
      </c>
      <c r="D6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6" s="1" t="str">
        <f>"Інші послуги"</f>
        <v>Інші послуги</v>
      </c>
      <c r="F6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6" s="1" t="str">
        <f>"5"</f>
        <v>5</v>
      </c>
      <c r="H66" s="1" t="str">
        <f>"Результат"</f>
        <v>Результат</v>
      </c>
      <c r="I66" s="1" t="str">
        <f t="shared" si="6"/>
        <v>Позитивний</v>
      </c>
      <c r="J66" s="1" t="str">
        <f>"Ні"</f>
        <v>Ні</v>
      </c>
    </row>
    <row r="67" spans="1:10" ht="135" x14ac:dyDescent="0.25">
      <c r="A67" s="1" t="str">
        <f>"65-2020/27"</f>
        <v>65-2020/27</v>
      </c>
      <c r="B67" s="1" t="str">
        <f t="shared" si="5"/>
        <v>08.01.2020</v>
      </c>
      <c r="C67" s="1" t="str">
        <f t="shared" si="7"/>
        <v>Закрито</v>
      </c>
      <c r="D6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7" s="1" t="str">
        <f>"Земельні питання"</f>
        <v>Земельні питання</v>
      </c>
      <c r="F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7" s="1" t="str">
        <f>"3"</f>
        <v>3</v>
      </c>
      <c r="H67" s="1" t="str">
        <f>"Результат"</f>
        <v>Результат</v>
      </c>
      <c r="I67" s="1" t="str">
        <f t="shared" si="6"/>
        <v>Позитивний</v>
      </c>
      <c r="J67" s="1" t="str">
        <f>"Ні"</f>
        <v>Ні</v>
      </c>
    </row>
    <row r="68" spans="1:10" ht="45" x14ac:dyDescent="0.25">
      <c r="A68" s="1" t="str">
        <f>"48-2020/27"</f>
        <v>48-2020/27</v>
      </c>
      <c r="B68" s="1" t="str">
        <f t="shared" si="5"/>
        <v>08.01.2020</v>
      </c>
      <c r="C68" s="1" t="str">
        <f t="shared" si="7"/>
        <v>Закрито</v>
      </c>
      <c r="D68" s="1" t="str">
        <f>"Зняття з реєстрації місця проживання"</f>
        <v>Зняття з реєстрації місця проживання</v>
      </c>
      <c r="E68" s="1" t="str">
        <f>"Реєстрація місця проживання"</f>
        <v>Реєстрація місця проживання</v>
      </c>
      <c r="F68" s="1" t="str">
        <f>"Відділ реєстрації Новокаховської міської ради"</f>
        <v>Відділ реєстрації Новокаховської міської ради</v>
      </c>
      <c r="G68" s="1" t="str">
        <f>"1"</f>
        <v>1</v>
      </c>
      <c r="H68" s="1" t="str">
        <f>"Результат"</f>
        <v>Результат</v>
      </c>
      <c r="I68" s="1" t="str">
        <f t="shared" si="6"/>
        <v>Позитивний</v>
      </c>
      <c r="J68" s="1" t="str">
        <f>"Так"</f>
        <v>Так</v>
      </c>
    </row>
    <row r="69" spans="1:10" ht="45" x14ac:dyDescent="0.25">
      <c r="A69" s="1" t="str">
        <f>"46-2020/27"</f>
        <v>46-2020/27</v>
      </c>
      <c r="B69" s="1" t="str">
        <f t="shared" si="5"/>
        <v>08.01.2020</v>
      </c>
      <c r="C69" s="1" t="str">
        <f t="shared" si="7"/>
        <v>Закрито</v>
      </c>
      <c r="D69" s="1" t="str">
        <f>"Реєстрація місця проживання особи"</f>
        <v>Реєстрація місця проживання особи</v>
      </c>
      <c r="E69" s="1" t="str">
        <f>"Реєстрація місця проживання"</f>
        <v>Реєстрація місця проживання</v>
      </c>
      <c r="F69" s="1" t="str">
        <f>"Відділ реєстрації Новокаховської міської ради"</f>
        <v>Відділ реєстрації Новокаховської міської ради</v>
      </c>
      <c r="G69" s="1" t="str">
        <f>"1"</f>
        <v>1</v>
      </c>
      <c r="H69" s="1" t="str">
        <f>"Результат"</f>
        <v>Результат</v>
      </c>
      <c r="I69" s="1" t="str">
        <f t="shared" si="6"/>
        <v>Позитивний</v>
      </c>
      <c r="J69" s="1" t="str">
        <f>"Так"</f>
        <v>Так</v>
      </c>
    </row>
    <row r="70" spans="1:10" ht="45" x14ac:dyDescent="0.25">
      <c r="A70" s="1" t="str">
        <f>"57-2020/27"</f>
        <v>57-2020/27</v>
      </c>
      <c r="B70" s="1" t="str">
        <f t="shared" si="5"/>
        <v>08.01.2020</v>
      </c>
      <c r="C70" s="1" t="str">
        <f t="shared" si="7"/>
        <v>Закрито</v>
      </c>
      <c r="D70" s="1" t="str">
        <f>"Реєстрація місця проживання особи"</f>
        <v>Реєстрація місця проживання особи</v>
      </c>
      <c r="E70" s="1" t="str">
        <f>"Реєстрація місця проживання"</f>
        <v>Реєстрація місця проживання</v>
      </c>
      <c r="F70" s="1" t="str">
        <f>"Відділ реєстрації Новокаховської міської ради"</f>
        <v>Відділ реєстрації Новокаховської міської ради</v>
      </c>
      <c r="G70" s="1" t="str">
        <f>"1"</f>
        <v>1</v>
      </c>
      <c r="H70" s="1" t="str">
        <f>"Результат"</f>
        <v>Результат</v>
      </c>
      <c r="I70" s="1" t="str">
        <f>"Мотивована відмова"</f>
        <v>Мотивована відмова</v>
      </c>
      <c r="J70" s="1" t="str">
        <f>"Так"</f>
        <v>Так</v>
      </c>
    </row>
    <row r="71" spans="1:10" ht="135" x14ac:dyDescent="0.25">
      <c r="A71" s="1" t="str">
        <f>"62-2020/27"</f>
        <v>62-2020/27</v>
      </c>
      <c r="B71" s="1" t="str">
        <f t="shared" si="5"/>
        <v>08.01.2020</v>
      </c>
      <c r="C71" s="1" t="str">
        <f t="shared" si="7"/>
        <v>Закрито</v>
      </c>
      <c r="D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1" s="1" t="str">
        <f>"Земельні питання"</f>
        <v>Земельні питання</v>
      </c>
      <c r="F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1" s="1" t="str">
        <f>"1"</f>
        <v>1</v>
      </c>
      <c r="H71" s="1" t="str">
        <f>"Результат"</f>
        <v>Результат</v>
      </c>
      <c r="I71" s="1" t="str">
        <f t="shared" ref="I71:I87" si="8">"Позитивний"</f>
        <v>Позитивний</v>
      </c>
      <c r="J71" s="1" t="str">
        <f>"Так"</f>
        <v>Так</v>
      </c>
    </row>
    <row r="72" spans="1:10" ht="135" x14ac:dyDescent="0.25">
      <c r="A72" s="1" t="str">
        <f>"64-2020/27"</f>
        <v>64-2020/27</v>
      </c>
      <c r="B72" s="1" t="str">
        <f t="shared" si="5"/>
        <v>08.01.2020</v>
      </c>
      <c r="C72" s="1" t="str">
        <f t="shared" si="7"/>
        <v>Закрито</v>
      </c>
      <c r="D7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2" s="1" t="str">
        <f>"Земельні питання"</f>
        <v>Земельні питання</v>
      </c>
      <c r="F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2" s="1" t="str">
        <f>"3"</f>
        <v>3</v>
      </c>
      <c r="H72" s="1" t="str">
        <f>"Результат"</f>
        <v>Результат</v>
      </c>
      <c r="I72" s="1" t="str">
        <f t="shared" si="8"/>
        <v>Позитивний</v>
      </c>
      <c r="J72" s="1" t="str">
        <f>"Ні"</f>
        <v>Ні</v>
      </c>
    </row>
    <row r="73" spans="1:10" ht="45" x14ac:dyDescent="0.25">
      <c r="A73" s="1" t="str">
        <f>"69-2020/27"</f>
        <v>69-2020/27</v>
      </c>
      <c r="B73" s="1" t="str">
        <f t="shared" si="5"/>
        <v>08.01.2020</v>
      </c>
      <c r="C73" s="1" t="str">
        <f t="shared" si="7"/>
        <v>Закрито</v>
      </c>
      <c r="D73" s="1" t="str">
        <f>"Реєстрація місця проживання особи"</f>
        <v>Реєстрація місця проживання особи</v>
      </c>
      <c r="E73" s="1" t="str">
        <f>"Реєстрація місця проживання"</f>
        <v>Реєстрація місця проживання</v>
      </c>
      <c r="F73" s="1" t="str">
        <f>"Відділ реєстрації Новокаховської міської ради"</f>
        <v>Відділ реєстрації Новокаховської міської ради</v>
      </c>
      <c r="G73" s="1" t="str">
        <f>"1"</f>
        <v>1</v>
      </c>
      <c r="H73" s="1" t="str">
        <f>"Результат"</f>
        <v>Результат</v>
      </c>
      <c r="I73" s="1" t="str">
        <f t="shared" si="8"/>
        <v>Позитивний</v>
      </c>
      <c r="J73" s="1" t="str">
        <f>"Так"</f>
        <v>Так</v>
      </c>
    </row>
    <row r="74" spans="1:10" ht="45" x14ac:dyDescent="0.25">
      <c r="A74" s="1" t="str">
        <f>"47-2020/27"</f>
        <v>47-2020/27</v>
      </c>
      <c r="B74" s="1" t="str">
        <f t="shared" si="5"/>
        <v>08.01.2020</v>
      </c>
      <c r="C74" s="1" t="str">
        <f t="shared" si="7"/>
        <v>Закрито</v>
      </c>
      <c r="D74" s="1" t="str">
        <f>"Реєстрація місця проживання особи"</f>
        <v>Реєстрація місця проживання особи</v>
      </c>
      <c r="E74" s="1" t="str">
        <f>"Реєстрація місця проживання"</f>
        <v>Реєстрація місця проживання</v>
      </c>
      <c r="F74" s="1" t="str">
        <f>"Відділ реєстрації Новокаховської міської ради"</f>
        <v>Відділ реєстрації Новокаховської міської ради</v>
      </c>
      <c r="G74" s="1" t="str">
        <f>"1"</f>
        <v>1</v>
      </c>
      <c r="H74" s="1" t="str">
        <f>"Результат"</f>
        <v>Результат</v>
      </c>
      <c r="I74" s="1" t="str">
        <f t="shared" si="8"/>
        <v>Позитивний</v>
      </c>
      <c r="J74" s="1" t="str">
        <f>"Так"</f>
        <v>Так</v>
      </c>
    </row>
    <row r="75" spans="1:10" ht="135" x14ac:dyDescent="0.25">
      <c r="A75" s="1" t="str">
        <f>"49-2020/27"</f>
        <v>49-2020/27</v>
      </c>
      <c r="B75" s="1" t="str">
        <f t="shared" si="5"/>
        <v>08.01.2020</v>
      </c>
      <c r="C75" s="1" t="str">
        <f t="shared" si="7"/>
        <v>Закрито</v>
      </c>
      <c r="D75" s="1" t="str">
        <f>"Надання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(плану)"</f>
        <v>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</v>
      </c>
      <c r="E75" s="1" t="str">
        <f>"Земельні питання"</f>
        <v>Земельні питання</v>
      </c>
      <c r="F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5" s="1" t="str">
        <f>"3"</f>
        <v>3</v>
      </c>
      <c r="H75" s="1" t="str">
        <f>"Результат"</f>
        <v>Результат</v>
      </c>
      <c r="I75" s="1" t="str">
        <f t="shared" si="8"/>
        <v>Позитивний</v>
      </c>
      <c r="J75" s="1" t="str">
        <f>"Ні"</f>
        <v>Ні</v>
      </c>
    </row>
    <row r="76" spans="1:10" ht="45" x14ac:dyDescent="0.25">
      <c r="A76" s="1" t="str">
        <f>"95-2020/27"</f>
        <v>95-2020/27</v>
      </c>
      <c r="B76" s="1" t="str">
        <f t="shared" ref="B76:B106" si="9">"09.01.2020"</f>
        <v>09.01.2020</v>
      </c>
      <c r="C76" s="1" t="str">
        <f t="shared" si="7"/>
        <v>Закрито</v>
      </c>
      <c r="D76" s="1" t="str">
        <f>"Реєстрація місця проживання особи"</f>
        <v>Реєстрація місця проживання особи</v>
      </c>
      <c r="E76" s="1" t="str">
        <f>"Реєстрація місця проживання"</f>
        <v>Реєстрація місця проживання</v>
      </c>
      <c r="F76" s="1" t="str">
        <f>"Відділ реєстрації Новокаховської міської ради"</f>
        <v>Відділ реєстрації Новокаховської міської ради</v>
      </c>
      <c r="G76" s="1" t="str">
        <f>"1"</f>
        <v>1</v>
      </c>
      <c r="H76" s="1" t="str">
        <f>"Результат"</f>
        <v>Результат</v>
      </c>
      <c r="I76" s="1" t="str">
        <f t="shared" si="8"/>
        <v>Позитивний</v>
      </c>
      <c r="J76" s="1" t="str">
        <f>"Так"</f>
        <v>Так</v>
      </c>
    </row>
    <row r="77" spans="1:10" ht="90" x14ac:dyDescent="0.25">
      <c r="A77" s="1" t="str">
        <f>"71-2020/27"</f>
        <v>71-2020/27</v>
      </c>
      <c r="B77" s="1" t="str">
        <f t="shared" si="9"/>
        <v>09.01.2020</v>
      </c>
      <c r="C77" s="1" t="str">
        <f t="shared" si="7"/>
        <v>Закрито</v>
      </c>
      <c r="D7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7" s="1" t="str">
        <f>"Інші послуги"</f>
        <v>Інші послуги</v>
      </c>
      <c r="F7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7" s="1" t="str">
        <f>"5"</f>
        <v>5</v>
      </c>
      <c r="H77" s="1" t="str">
        <f>"Результат"</f>
        <v>Результат</v>
      </c>
      <c r="I77" s="1" t="str">
        <f t="shared" si="8"/>
        <v>Позитивний</v>
      </c>
      <c r="J77" s="1" t="str">
        <f>"Ні"</f>
        <v>Ні</v>
      </c>
    </row>
    <row r="78" spans="1:10" ht="45" x14ac:dyDescent="0.25">
      <c r="A78" s="1" t="str">
        <f>"84-2020/27"</f>
        <v>84-2020/27</v>
      </c>
      <c r="B78" s="1" t="str">
        <f t="shared" si="9"/>
        <v>09.01.2020</v>
      </c>
      <c r="C78" s="1" t="str">
        <f t="shared" si="7"/>
        <v>Закрито</v>
      </c>
      <c r="D78" s="1" t="str">
        <f>"Реєстрація місця проживання особи"</f>
        <v>Реєстрація місця проживання особи</v>
      </c>
      <c r="E78" s="1" t="str">
        <f>"Реєстрація місця проживання"</f>
        <v>Реєстрація місця проживання</v>
      </c>
      <c r="F78" s="1" t="str">
        <f>"Відділ реєстрації Новокаховської міської ради"</f>
        <v>Відділ реєстрації Новокаховської міської ради</v>
      </c>
      <c r="G78" s="1" t="str">
        <f>"1"</f>
        <v>1</v>
      </c>
      <c r="H78" s="1" t="str">
        <f>"Результат"</f>
        <v>Результат</v>
      </c>
      <c r="I78" s="1" t="str">
        <f t="shared" si="8"/>
        <v>Позитивний</v>
      </c>
      <c r="J78" s="1" t="str">
        <f>"Так"</f>
        <v>Так</v>
      </c>
    </row>
    <row r="79" spans="1:10" ht="45" x14ac:dyDescent="0.25">
      <c r="A79" s="1" t="str">
        <f>"77-2020/27"</f>
        <v>77-2020/27</v>
      </c>
      <c r="B79" s="1" t="str">
        <f t="shared" si="9"/>
        <v>09.01.2020</v>
      </c>
      <c r="C79" s="1" t="str">
        <f t="shared" si="7"/>
        <v>Закрито</v>
      </c>
      <c r="D79" s="1" t="str">
        <f>"Реєстрація місця проживання особи"</f>
        <v>Реєстрація місця проживання особи</v>
      </c>
      <c r="E79" s="1" t="str">
        <f>"Реєстрація місця проживання"</f>
        <v>Реєстрація місця проживання</v>
      </c>
      <c r="F79" s="1" t="str">
        <f>"Відділ реєстрації Новокаховської міської ради"</f>
        <v>Відділ реєстрації Новокаховської міської ради</v>
      </c>
      <c r="G79" s="1" t="str">
        <f>"1"</f>
        <v>1</v>
      </c>
      <c r="H79" s="1" t="str">
        <f>"Результат"</f>
        <v>Результат</v>
      </c>
      <c r="I79" s="1" t="str">
        <f t="shared" si="8"/>
        <v>Позитивний</v>
      </c>
      <c r="J79" s="1" t="str">
        <f>"Так"</f>
        <v>Так</v>
      </c>
    </row>
    <row r="80" spans="1:10" ht="90" x14ac:dyDescent="0.25">
      <c r="A80" s="1" t="str">
        <f>"93-2020/27"</f>
        <v>93-2020/27</v>
      </c>
      <c r="B80" s="1" t="str">
        <f t="shared" si="9"/>
        <v>09.01.2020</v>
      </c>
      <c r="C80" s="1" t="str">
        <f t="shared" si="7"/>
        <v>Закрито</v>
      </c>
      <c r="D8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80" s="1" t="str">
        <f>"Інші послуги"</f>
        <v>Інші послуги</v>
      </c>
      <c r="F8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80" s="1" t="str">
        <f>"5"</f>
        <v>5</v>
      </c>
      <c r="H80" s="1" t="str">
        <f>"Результат"</f>
        <v>Результат</v>
      </c>
      <c r="I80" s="1" t="str">
        <f t="shared" si="8"/>
        <v>Позитивний</v>
      </c>
      <c r="J80" s="1" t="str">
        <f>"Ні"</f>
        <v>Ні</v>
      </c>
    </row>
    <row r="81" spans="1:10" ht="135" x14ac:dyDescent="0.25">
      <c r="A81" s="1" t="str">
        <f>"94-2020/27"</f>
        <v>94-2020/27</v>
      </c>
      <c r="B81" s="1" t="str">
        <f t="shared" si="9"/>
        <v>09.01.2020</v>
      </c>
      <c r="C81" s="1" t="str">
        <f t="shared" si="7"/>
        <v>Закрито</v>
      </c>
      <c r="D8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1" s="1" t="str">
        <f>"Земельні питання"</f>
        <v>Земельні питання</v>
      </c>
      <c r="F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1" s="1" t="str">
        <f t="shared" ref="G81:G92" si="10">"1"</f>
        <v>1</v>
      </c>
      <c r="H81" s="1" t="str">
        <f>"Результат"</f>
        <v>Результат</v>
      </c>
      <c r="I81" s="1" t="str">
        <f t="shared" si="8"/>
        <v>Позитивний</v>
      </c>
      <c r="J81" s="1" t="str">
        <f t="shared" ref="J81:J92" si="11">"Так"</f>
        <v>Так</v>
      </c>
    </row>
    <row r="82" spans="1:10" ht="45" x14ac:dyDescent="0.25">
      <c r="A82" s="1" t="str">
        <f>"73-2020/27"</f>
        <v>73-2020/27</v>
      </c>
      <c r="B82" s="1" t="str">
        <f t="shared" si="9"/>
        <v>09.01.2020</v>
      </c>
      <c r="C82" s="1" t="str">
        <f t="shared" si="7"/>
        <v>Закрито</v>
      </c>
      <c r="D82" s="1" t="str">
        <f>"Зняття з реєстрації місця проживання"</f>
        <v>Зняття з реєстрації місця проживання</v>
      </c>
      <c r="E82" s="1" t="str">
        <f>"Реєстрація місця проживання"</f>
        <v>Реєстрація місця проживання</v>
      </c>
      <c r="F82" s="1" t="str">
        <f>"Відділ реєстрації Новокаховської міської ради"</f>
        <v>Відділ реєстрації Новокаховської міської ради</v>
      </c>
      <c r="G82" s="1" t="str">
        <f t="shared" si="10"/>
        <v>1</v>
      </c>
      <c r="H82" s="1" t="str">
        <f>"Результат"</f>
        <v>Результат</v>
      </c>
      <c r="I82" s="1" t="str">
        <f t="shared" si="8"/>
        <v>Позитивний</v>
      </c>
      <c r="J82" s="1" t="str">
        <f t="shared" si="11"/>
        <v>Так</v>
      </c>
    </row>
    <row r="83" spans="1:10" ht="105" x14ac:dyDescent="0.25">
      <c r="A83" s="1" t="str">
        <f>"100-2020/27"</f>
        <v>100-2020/27</v>
      </c>
      <c r="B83" s="1" t="str">
        <f t="shared" si="9"/>
        <v>09.01.2020</v>
      </c>
      <c r="C83" s="1" t="str">
        <f t="shared" si="7"/>
        <v>Закрито</v>
      </c>
      <c r="D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3" s="1" t="str">
        <f>"Земельні питання"</f>
        <v>Земельні питання</v>
      </c>
      <c r="F8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83" s="1" t="str">
        <f t="shared" si="10"/>
        <v>1</v>
      </c>
      <c r="H83" s="1" t="str">
        <f>"Результат"</f>
        <v>Результат</v>
      </c>
      <c r="I83" s="1" t="str">
        <f t="shared" si="8"/>
        <v>Позитивний</v>
      </c>
      <c r="J83" s="1" t="str">
        <f t="shared" si="11"/>
        <v>Так</v>
      </c>
    </row>
    <row r="84" spans="1:10" ht="45" x14ac:dyDescent="0.25">
      <c r="A84" s="1" t="str">
        <f>"79-2020/27"</f>
        <v>79-2020/27</v>
      </c>
      <c r="B84" s="1" t="str">
        <f t="shared" si="9"/>
        <v>09.01.2020</v>
      </c>
      <c r="C84" s="1" t="str">
        <f t="shared" si="7"/>
        <v>Закрито</v>
      </c>
      <c r="D84" s="1" t="str">
        <f>"Реєстрація місця проживання особи"</f>
        <v>Реєстрація місця проживання особи</v>
      </c>
      <c r="E84" s="1" t="str">
        <f>"Реєстрація місця проживання"</f>
        <v>Реєстрація місця проживання</v>
      </c>
      <c r="F84" s="1" t="str">
        <f>"Відділ реєстрації Новокаховської міської ради"</f>
        <v>Відділ реєстрації Новокаховської міської ради</v>
      </c>
      <c r="G84" s="1" t="str">
        <f t="shared" si="10"/>
        <v>1</v>
      </c>
      <c r="H84" s="1" t="str">
        <f>"Результат"</f>
        <v>Результат</v>
      </c>
      <c r="I84" s="1" t="str">
        <f t="shared" si="8"/>
        <v>Позитивний</v>
      </c>
      <c r="J84" s="1" t="str">
        <f t="shared" si="11"/>
        <v>Так</v>
      </c>
    </row>
    <row r="85" spans="1:10" ht="45" x14ac:dyDescent="0.25">
      <c r="A85" s="1" t="str">
        <f>"81-2020/27"</f>
        <v>81-2020/27</v>
      </c>
      <c r="B85" s="1" t="str">
        <f t="shared" si="9"/>
        <v>09.01.2020</v>
      </c>
      <c r="C85" s="1" t="str">
        <f t="shared" si="7"/>
        <v>Закрито</v>
      </c>
      <c r="D85" s="1" t="str">
        <f>"Реєстрація місця проживання особи"</f>
        <v>Реєстрація місця проживання особи</v>
      </c>
      <c r="E85" s="1" t="str">
        <f>"Реєстрація місця проживання"</f>
        <v>Реєстрація місця проживання</v>
      </c>
      <c r="F85" s="1" t="str">
        <f>"Відділ реєстрації Новокаховської міської ради"</f>
        <v>Відділ реєстрації Новокаховської міської ради</v>
      </c>
      <c r="G85" s="1" t="str">
        <f t="shared" si="10"/>
        <v>1</v>
      </c>
      <c r="H85" s="1" t="str">
        <f>"Результат"</f>
        <v>Результат</v>
      </c>
      <c r="I85" s="1" t="str">
        <f t="shared" si="8"/>
        <v>Позитивний</v>
      </c>
      <c r="J85" s="1" t="str">
        <f t="shared" si="11"/>
        <v>Так</v>
      </c>
    </row>
    <row r="86" spans="1:10" ht="45" x14ac:dyDescent="0.25">
      <c r="A86" s="1" t="str">
        <f>"82-2020/27"</f>
        <v>82-2020/27</v>
      </c>
      <c r="B86" s="1" t="str">
        <f t="shared" si="9"/>
        <v>09.01.2020</v>
      </c>
      <c r="C86" s="1" t="str">
        <f t="shared" si="7"/>
        <v>Закрито</v>
      </c>
      <c r="D86" s="1" t="str">
        <f>"Реєстрація місця проживання особи"</f>
        <v>Реєстрація місця проживання особи</v>
      </c>
      <c r="E86" s="1" t="str">
        <f>"Реєстрація місця проживання"</f>
        <v>Реєстрація місця проживання</v>
      </c>
      <c r="F86" s="1" t="str">
        <f>"Відділ реєстрації Новокаховської міської ради"</f>
        <v>Відділ реєстрації Новокаховської міської ради</v>
      </c>
      <c r="G86" s="1" t="str">
        <f t="shared" si="10"/>
        <v>1</v>
      </c>
      <c r="H86" s="1" t="str">
        <f>"Результат"</f>
        <v>Результат</v>
      </c>
      <c r="I86" s="1" t="str">
        <f t="shared" si="8"/>
        <v>Позитивний</v>
      </c>
      <c r="J86" s="1" t="str">
        <f t="shared" si="11"/>
        <v>Так</v>
      </c>
    </row>
    <row r="87" spans="1:10" ht="135" x14ac:dyDescent="0.25">
      <c r="A87" s="1" t="str">
        <f>"87-2020/27"</f>
        <v>87-2020/27</v>
      </c>
      <c r="B87" s="1" t="str">
        <f t="shared" si="9"/>
        <v>09.01.2020</v>
      </c>
      <c r="C87" s="1" t="str">
        <f t="shared" si="7"/>
        <v>Закрито</v>
      </c>
      <c r="D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7" s="1" t="str">
        <f>"Земельні питання"</f>
        <v>Земельні питання</v>
      </c>
      <c r="F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7" s="1" t="str">
        <f t="shared" si="10"/>
        <v>1</v>
      </c>
      <c r="H87" s="1" t="str">
        <f>"Результат"</f>
        <v>Результат</v>
      </c>
      <c r="I87" s="1" t="str">
        <f t="shared" si="8"/>
        <v>Позитивний</v>
      </c>
      <c r="J87" s="1" t="str">
        <f t="shared" si="11"/>
        <v>Так</v>
      </c>
    </row>
    <row r="88" spans="1:10" ht="45" x14ac:dyDescent="0.25">
      <c r="A88" s="1" t="str">
        <f>"85-2020/27"</f>
        <v>85-2020/27</v>
      </c>
      <c r="B88" s="1" t="str">
        <f t="shared" si="9"/>
        <v>09.01.2020</v>
      </c>
      <c r="C88" s="1" t="str">
        <f t="shared" si="7"/>
        <v>Закрито</v>
      </c>
      <c r="D88" s="1" t="str">
        <f>"Реєстрація місця проживання особи"</f>
        <v>Реєстрація місця проживання особи</v>
      </c>
      <c r="E88" s="1" t="str">
        <f>"Реєстрація місця проживання"</f>
        <v>Реєстрація місця проживання</v>
      </c>
      <c r="F88" s="1" t="str">
        <f>"Відділ реєстрації Новокаховської міської ради"</f>
        <v>Відділ реєстрації Новокаховської міської ради</v>
      </c>
      <c r="G88" s="1" t="str">
        <f t="shared" si="10"/>
        <v>1</v>
      </c>
      <c r="H88" s="1" t="str">
        <f>"Результат"</f>
        <v>Результат</v>
      </c>
      <c r="I88" s="1" t="str">
        <f>"Мотивована відмова"</f>
        <v>Мотивована відмова</v>
      </c>
      <c r="J88" s="1" t="str">
        <f t="shared" si="11"/>
        <v>Так</v>
      </c>
    </row>
    <row r="89" spans="1:10" ht="45" x14ac:dyDescent="0.25">
      <c r="A89" s="1" t="str">
        <f>"89-2020/27"</f>
        <v>89-2020/27</v>
      </c>
      <c r="B89" s="1" t="str">
        <f t="shared" si="9"/>
        <v>09.01.2020</v>
      </c>
      <c r="C89" s="1" t="str">
        <f t="shared" si="7"/>
        <v>Закрито</v>
      </c>
      <c r="D89" s="1" t="str">
        <f>"Зняття з реєстрації місця проживання"</f>
        <v>Зняття з реєстрації місця проживання</v>
      </c>
      <c r="E89" s="1" t="str">
        <f>"Реєстрація місця проживання"</f>
        <v>Реєстрація місця проживання</v>
      </c>
      <c r="F89" s="1" t="str">
        <f>"Відділ реєстрації Новокаховської міської ради"</f>
        <v>Відділ реєстрації Новокаховської міської ради</v>
      </c>
      <c r="G89" s="1" t="str">
        <f t="shared" si="10"/>
        <v>1</v>
      </c>
      <c r="H89" s="1" t="str">
        <f>"Результат"</f>
        <v>Результат</v>
      </c>
      <c r="I89" s="1" t="str">
        <f t="shared" ref="I89:I101" si="12">"Позитивний"</f>
        <v>Позитивний</v>
      </c>
      <c r="J89" s="1" t="str">
        <f t="shared" si="11"/>
        <v>Так</v>
      </c>
    </row>
    <row r="90" spans="1:10" ht="45" x14ac:dyDescent="0.25">
      <c r="A90" s="1" t="str">
        <f>"74-2020/27"</f>
        <v>74-2020/27</v>
      </c>
      <c r="B90" s="1" t="str">
        <f t="shared" si="9"/>
        <v>09.01.2020</v>
      </c>
      <c r="C90" s="1" t="str">
        <f t="shared" si="7"/>
        <v>Закрито</v>
      </c>
      <c r="D90" s="1" t="str">
        <f>"Зняття з реєстрації місця проживання"</f>
        <v>Зняття з реєстрації місця проживання</v>
      </c>
      <c r="E90" s="1" t="str">
        <f>"Реєстрація місця проживання"</f>
        <v>Реєстрація місця проживання</v>
      </c>
      <c r="F90" s="1" t="str">
        <f>"Відділ реєстрації Новокаховської міської ради"</f>
        <v>Відділ реєстрації Новокаховської міської ради</v>
      </c>
      <c r="G90" s="1" t="str">
        <f t="shared" si="10"/>
        <v>1</v>
      </c>
      <c r="H90" s="1" t="str">
        <f>"Результат"</f>
        <v>Результат</v>
      </c>
      <c r="I90" s="1" t="str">
        <f t="shared" si="12"/>
        <v>Позитивний</v>
      </c>
      <c r="J90" s="1" t="str">
        <f t="shared" si="11"/>
        <v>Так</v>
      </c>
    </row>
    <row r="91" spans="1:10" ht="105" x14ac:dyDescent="0.25">
      <c r="A91" s="1" t="str">
        <f>"99-2020/27"</f>
        <v>99-2020/27</v>
      </c>
      <c r="B91" s="1" t="str">
        <f t="shared" si="9"/>
        <v>09.01.2020</v>
      </c>
      <c r="C91" s="1" t="str">
        <f t="shared" si="7"/>
        <v>Закрито</v>
      </c>
      <c r="D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1" s="1" t="str">
        <f>"Земельні питання"</f>
        <v>Земельні питання</v>
      </c>
      <c r="F9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91" s="1" t="str">
        <f t="shared" si="10"/>
        <v>1</v>
      </c>
      <c r="H91" s="1" t="str">
        <f>"Результат"</f>
        <v>Результат</v>
      </c>
      <c r="I91" s="1" t="str">
        <f t="shared" si="12"/>
        <v>Позитивний</v>
      </c>
      <c r="J91" s="1" t="str">
        <f t="shared" si="11"/>
        <v>Так</v>
      </c>
    </row>
    <row r="92" spans="1:10" ht="135" x14ac:dyDescent="0.25">
      <c r="A92" s="1" t="str">
        <f>"76-2020/27"</f>
        <v>76-2020/27</v>
      </c>
      <c r="B92" s="1" t="str">
        <f t="shared" si="9"/>
        <v>09.01.2020</v>
      </c>
      <c r="C92" s="1" t="str">
        <f t="shared" si="7"/>
        <v>Закрито</v>
      </c>
      <c r="D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2" s="1" t="str">
        <f>"Земельні питання"</f>
        <v>Земельні питання</v>
      </c>
      <c r="F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" s="1" t="str">
        <f t="shared" si="10"/>
        <v>1</v>
      </c>
      <c r="H92" s="1" t="str">
        <f>"Результат"</f>
        <v>Результат</v>
      </c>
      <c r="I92" s="1" t="str">
        <f t="shared" si="12"/>
        <v>Позитивний</v>
      </c>
      <c r="J92" s="1" t="str">
        <f t="shared" si="11"/>
        <v>Так</v>
      </c>
    </row>
    <row r="93" spans="1:10" ht="90" x14ac:dyDescent="0.25">
      <c r="A93" s="1" t="str">
        <f>"97-2020/27"</f>
        <v>97-2020/27</v>
      </c>
      <c r="B93" s="1" t="str">
        <f t="shared" si="9"/>
        <v>09.01.2020</v>
      </c>
      <c r="C93" s="1" t="str">
        <f t="shared" si="7"/>
        <v>Закрито</v>
      </c>
      <c r="D9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3" s="1" t="str">
        <f>"Інші послуги"</f>
        <v>Інші послуги</v>
      </c>
      <c r="F9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3" s="1" t="str">
        <f>"5"</f>
        <v>5</v>
      </c>
      <c r="H93" s="1" t="str">
        <f>"Результат"</f>
        <v>Результат</v>
      </c>
      <c r="I93" s="1" t="str">
        <f t="shared" si="12"/>
        <v>Позитивний</v>
      </c>
      <c r="J93" s="1" t="str">
        <f>"Ні"</f>
        <v>Ні</v>
      </c>
    </row>
    <row r="94" spans="1:10" ht="45" x14ac:dyDescent="0.25">
      <c r="A94" s="1" t="str">
        <f>"90-2020/27"</f>
        <v>90-2020/27</v>
      </c>
      <c r="B94" s="1" t="str">
        <f t="shared" si="9"/>
        <v>09.01.2020</v>
      </c>
      <c r="C94" s="1" t="str">
        <f t="shared" si="7"/>
        <v>Закрито</v>
      </c>
      <c r="D94" s="1" t="str">
        <f>"Зняття з реєстрації місця проживання"</f>
        <v>Зняття з реєстрації місця проживання</v>
      </c>
      <c r="E94" s="1" t="str">
        <f>"Реєстрація місця проживання"</f>
        <v>Реєстрація місця проживання</v>
      </c>
      <c r="F94" s="1" t="str">
        <f>"Відділ реєстрації Новокаховської міської ради"</f>
        <v>Відділ реєстрації Новокаховської міської ради</v>
      </c>
      <c r="G94" s="1" t="str">
        <f t="shared" ref="G94:G104" si="13">"1"</f>
        <v>1</v>
      </c>
      <c r="H94" s="1" t="str">
        <f>"Результат"</f>
        <v>Результат</v>
      </c>
      <c r="I94" s="1" t="str">
        <f t="shared" si="12"/>
        <v>Позитивний</v>
      </c>
      <c r="J94" s="1" t="str">
        <f t="shared" ref="J94:J103" si="14">"Так"</f>
        <v>Так</v>
      </c>
    </row>
    <row r="95" spans="1:10" ht="45" x14ac:dyDescent="0.25">
      <c r="A95" s="1" t="str">
        <f>"83-2020/27"</f>
        <v>83-2020/27</v>
      </c>
      <c r="B95" s="1" t="str">
        <f t="shared" si="9"/>
        <v>09.01.2020</v>
      </c>
      <c r="C95" s="1" t="str">
        <f t="shared" si="7"/>
        <v>Закрито</v>
      </c>
      <c r="D95" s="1" t="str">
        <f>"Реєстрація місця проживання особи"</f>
        <v>Реєстрація місця проживання особи</v>
      </c>
      <c r="E95" s="1" t="str">
        <f>"Реєстрація місця проживання"</f>
        <v>Реєстрація місця проживання</v>
      </c>
      <c r="F95" s="1" t="str">
        <f>"Відділ реєстрації Новокаховської міської ради"</f>
        <v>Відділ реєстрації Новокаховської міської ради</v>
      </c>
      <c r="G95" s="1" t="str">
        <f t="shared" si="13"/>
        <v>1</v>
      </c>
      <c r="H95" s="1" t="str">
        <f>"Результат"</f>
        <v>Результат</v>
      </c>
      <c r="I95" s="1" t="str">
        <f t="shared" si="12"/>
        <v>Позитивний</v>
      </c>
      <c r="J95" s="1" t="str">
        <f t="shared" si="14"/>
        <v>Так</v>
      </c>
    </row>
    <row r="96" spans="1:10" ht="45" x14ac:dyDescent="0.25">
      <c r="A96" s="1" t="str">
        <f>"98-2020/27"</f>
        <v>98-2020/27</v>
      </c>
      <c r="B96" s="1" t="str">
        <f t="shared" si="9"/>
        <v>09.01.2020</v>
      </c>
      <c r="C96" s="1" t="str">
        <f t="shared" si="7"/>
        <v>Закрито</v>
      </c>
      <c r="D96" s="1" t="str">
        <f>"Реєстрація місця проживання особи"</f>
        <v>Реєстрація місця проживання особи</v>
      </c>
      <c r="E96" s="1" t="str">
        <f>"Реєстрація місця проживання"</f>
        <v>Реєстрація місця проживання</v>
      </c>
      <c r="F96" s="1" t="str">
        <f>"Відділ реєстрації Новокаховської міської ради"</f>
        <v>Відділ реєстрації Новокаховської міської ради</v>
      </c>
      <c r="G96" s="1" t="str">
        <f t="shared" si="13"/>
        <v>1</v>
      </c>
      <c r="H96" s="1" t="str">
        <f>"Результат"</f>
        <v>Результат</v>
      </c>
      <c r="I96" s="1" t="str">
        <f t="shared" si="12"/>
        <v>Позитивний</v>
      </c>
      <c r="J96" s="1" t="str">
        <f t="shared" si="14"/>
        <v>Так</v>
      </c>
    </row>
    <row r="97" spans="1:10" ht="105" x14ac:dyDescent="0.25">
      <c r="A97" s="1" t="str">
        <f>"101-2020/27"</f>
        <v>101-2020/27</v>
      </c>
      <c r="B97" s="1" t="str">
        <f t="shared" si="9"/>
        <v>09.01.2020</v>
      </c>
      <c r="C97" s="1" t="str">
        <f t="shared" si="7"/>
        <v>Закрито</v>
      </c>
      <c r="D9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7" s="1" t="str">
        <f>"Земельні питання"</f>
        <v>Земельні питання</v>
      </c>
      <c r="F9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97" s="1" t="str">
        <f t="shared" si="13"/>
        <v>1</v>
      </c>
      <c r="H97" s="1" t="str">
        <f>"Результат"</f>
        <v>Результат</v>
      </c>
      <c r="I97" s="1" t="str">
        <f t="shared" si="12"/>
        <v>Позитивний</v>
      </c>
      <c r="J97" s="1" t="str">
        <f t="shared" si="14"/>
        <v>Так</v>
      </c>
    </row>
    <row r="98" spans="1:10" ht="45" x14ac:dyDescent="0.25">
      <c r="A98" s="1" t="str">
        <f>"72-2020/27"</f>
        <v>72-2020/27</v>
      </c>
      <c r="B98" s="1" t="str">
        <f t="shared" si="9"/>
        <v>09.01.2020</v>
      </c>
      <c r="C98" s="1" t="str">
        <f t="shared" si="7"/>
        <v>Закрито</v>
      </c>
      <c r="D98" s="1" t="str">
        <f>"Реєстрація місця проживання особи"</f>
        <v>Реєстрація місця проживання особи</v>
      </c>
      <c r="E98" s="1" t="str">
        <f>"Реєстрація місця проживання"</f>
        <v>Реєстрація місця проживання</v>
      </c>
      <c r="F98" s="1" t="str">
        <f>"Відділ реєстрації Новокаховської міської ради"</f>
        <v>Відділ реєстрації Новокаховської міської ради</v>
      </c>
      <c r="G98" s="1" t="str">
        <f t="shared" si="13"/>
        <v>1</v>
      </c>
      <c r="H98" s="1" t="str">
        <f>"Результат"</f>
        <v>Результат</v>
      </c>
      <c r="I98" s="1" t="str">
        <f t="shared" si="12"/>
        <v>Позитивний</v>
      </c>
      <c r="J98" s="1" t="str">
        <f t="shared" si="14"/>
        <v>Так</v>
      </c>
    </row>
    <row r="99" spans="1:10" ht="45" x14ac:dyDescent="0.25">
      <c r="A99" s="1" t="str">
        <f>"80-2020/27"</f>
        <v>80-2020/27</v>
      </c>
      <c r="B99" s="1" t="str">
        <f t="shared" si="9"/>
        <v>09.01.2020</v>
      </c>
      <c r="C99" s="1" t="str">
        <f t="shared" si="7"/>
        <v>Закрито</v>
      </c>
      <c r="D99" s="1" t="str">
        <f>"Реєстрація місця проживання особи"</f>
        <v>Реєстрація місця проживання особи</v>
      </c>
      <c r="E99" s="1" t="str">
        <f>"Реєстрація місця проживання"</f>
        <v>Реєстрація місця проживання</v>
      </c>
      <c r="F99" s="1" t="str">
        <f>"Відділ реєстрації Новокаховської міської ради"</f>
        <v>Відділ реєстрації Новокаховської міської ради</v>
      </c>
      <c r="G99" s="1" t="str">
        <f t="shared" si="13"/>
        <v>1</v>
      </c>
      <c r="H99" s="1" t="str">
        <f>"Результат"</f>
        <v>Результат</v>
      </c>
      <c r="I99" s="1" t="str">
        <f t="shared" si="12"/>
        <v>Позитивний</v>
      </c>
      <c r="J99" s="1" t="str">
        <f t="shared" si="14"/>
        <v>Так</v>
      </c>
    </row>
    <row r="100" spans="1:10" ht="45" x14ac:dyDescent="0.25">
      <c r="A100" s="1" t="str">
        <f>"88-2020/27"</f>
        <v>88-2020/27</v>
      </c>
      <c r="B100" s="1" t="str">
        <f t="shared" si="9"/>
        <v>09.01.2020</v>
      </c>
      <c r="C100" s="1" t="str">
        <f t="shared" si="7"/>
        <v>Закрито</v>
      </c>
      <c r="D100" s="1" t="str">
        <f>"Зняття з реєстрації місця проживання"</f>
        <v>Зняття з реєстрації місця проживання</v>
      </c>
      <c r="E100" s="1" t="str">
        <f>"Реєстрація місця проживання"</f>
        <v>Реєстрація місця проживання</v>
      </c>
      <c r="F100" s="1" t="str">
        <f>"Відділ реєстрації Новокаховської міської ради"</f>
        <v>Відділ реєстрації Новокаховської міської ради</v>
      </c>
      <c r="G100" s="1" t="str">
        <f t="shared" si="13"/>
        <v>1</v>
      </c>
      <c r="H100" s="1" t="str">
        <f>"Результат"</f>
        <v>Результат</v>
      </c>
      <c r="I100" s="1" t="str">
        <f t="shared" si="12"/>
        <v>Позитивний</v>
      </c>
      <c r="J100" s="1" t="str">
        <f t="shared" si="14"/>
        <v>Так</v>
      </c>
    </row>
    <row r="101" spans="1:10" ht="135" x14ac:dyDescent="0.25">
      <c r="A101" s="1" t="str">
        <f>"86-2020/27"</f>
        <v>86-2020/27</v>
      </c>
      <c r="B101" s="1" t="str">
        <f t="shared" si="9"/>
        <v>09.01.2020</v>
      </c>
      <c r="C101" s="1" t="str">
        <f t="shared" si="7"/>
        <v>Закрито</v>
      </c>
      <c r="D10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1" s="1" t="str">
        <f>"Земельні питання"</f>
        <v>Земельні питання</v>
      </c>
      <c r="F1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" s="1" t="str">
        <f t="shared" si="13"/>
        <v>1</v>
      </c>
      <c r="H101" s="1" t="str">
        <f>"Результат"</f>
        <v>Результат</v>
      </c>
      <c r="I101" s="1" t="str">
        <f t="shared" si="12"/>
        <v>Позитивний</v>
      </c>
      <c r="J101" s="1" t="str">
        <f t="shared" si="14"/>
        <v>Так</v>
      </c>
    </row>
    <row r="102" spans="1:10" ht="45" x14ac:dyDescent="0.25">
      <c r="A102" s="1" t="str">
        <f>"75-2020/27"</f>
        <v>75-2020/27</v>
      </c>
      <c r="B102" s="1" t="str">
        <f t="shared" si="9"/>
        <v>09.01.2020</v>
      </c>
      <c r="C102" s="1" t="str">
        <f t="shared" si="7"/>
        <v>Закрито</v>
      </c>
      <c r="D102" s="1" t="str">
        <f>"Реєстрація місця проживання особи"</f>
        <v>Реєстрація місця проживання особи</v>
      </c>
      <c r="E102" s="1" t="str">
        <f>"Реєстрація місця проживання"</f>
        <v>Реєстрація місця проживання</v>
      </c>
      <c r="F102" s="1" t="str">
        <f>"Відділ реєстрації Новокаховської міської ради"</f>
        <v>Відділ реєстрації Новокаховської міської ради</v>
      </c>
      <c r="G102" s="1" t="str">
        <f t="shared" si="13"/>
        <v>1</v>
      </c>
      <c r="H102" s="1" t="str">
        <f>"Результат"</f>
        <v>Результат</v>
      </c>
      <c r="I102" s="1" t="str">
        <f>"Мотивована відмова"</f>
        <v>Мотивована відмова</v>
      </c>
      <c r="J102" s="1" t="str">
        <f t="shared" si="14"/>
        <v>Так</v>
      </c>
    </row>
    <row r="103" spans="1:10" ht="45" x14ac:dyDescent="0.25">
      <c r="A103" s="1" t="str">
        <f>"78-2020/27"</f>
        <v>78-2020/27</v>
      </c>
      <c r="B103" s="1" t="str">
        <f t="shared" si="9"/>
        <v>09.01.2020</v>
      </c>
      <c r="C103" s="1" t="str">
        <f t="shared" si="7"/>
        <v>Закрито</v>
      </c>
      <c r="D103" s="1" t="str">
        <f>"Зняття з реєстрації місця проживання"</f>
        <v>Зняття з реєстрації місця проживання</v>
      </c>
      <c r="E103" s="1" t="str">
        <f>"Реєстрація місця проживання"</f>
        <v>Реєстрація місця проживання</v>
      </c>
      <c r="F103" s="1" t="str">
        <f>"Відділ реєстрації Новокаховської міської ради"</f>
        <v>Відділ реєстрації Новокаховської міської ради</v>
      </c>
      <c r="G103" s="1" t="str">
        <f t="shared" si="13"/>
        <v>1</v>
      </c>
      <c r="H103" s="1" t="str">
        <f>"Результат"</f>
        <v>Результат</v>
      </c>
      <c r="I103" s="1" t="str">
        <f t="shared" ref="I103:I128" si="15">"Позитивний"</f>
        <v>Позитивний</v>
      </c>
      <c r="J103" s="1" t="str">
        <f t="shared" si="14"/>
        <v>Так</v>
      </c>
    </row>
    <row r="104" spans="1:10" ht="105" x14ac:dyDescent="0.25">
      <c r="A104" s="1" t="str">
        <f>"96-2020/27"</f>
        <v>96-2020/27</v>
      </c>
      <c r="B104" s="1" t="str">
        <f t="shared" si="9"/>
        <v>09.01.2020</v>
      </c>
      <c r="C104" s="1" t="str">
        <f t="shared" si="7"/>
        <v>Закрито</v>
      </c>
      <c r="D10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4" s="1" t="str">
        <f>"Земельні питання"</f>
        <v>Земельні питання</v>
      </c>
      <c r="F10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4" s="1" t="str">
        <f t="shared" si="13"/>
        <v>1</v>
      </c>
      <c r="H104" s="1" t="str">
        <f>"Результат"</f>
        <v>Результат</v>
      </c>
      <c r="I104" s="1" t="str">
        <f t="shared" si="15"/>
        <v>Позитивний</v>
      </c>
      <c r="J104" s="1" t="str">
        <f>"Ні"</f>
        <v>Ні</v>
      </c>
    </row>
    <row r="105" spans="1:10" ht="90" x14ac:dyDescent="0.25">
      <c r="A105" s="1" t="str">
        <f>"91-2020/27"</f>
        <v>91-2020/27</v>
      </c>
      <c r="B105" s="1" t="str">
        <f t="shared" si="9"/>
        <v>09.01.2020</v>
      </c>
      <c r="C105" s="1" t="str">
        <f t="shared" si="7"/>
        <v>Закрито</v>
      </c>
      <c r="D10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5" s="1" t="str">
        <f>"Інші послуги"</f>
        <v>Інші послуги</v>
      </c>
      <c r="F10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5" s="1" t="str">
        <f>"5"</f>
        <v>5</v>
      </c>
      <c r="H105" s="1" t="str">
        <f>"Результат"</f>
        <v>Результат</v>
      </c>
      <c r="I105" s="1" t="str">
        <f t="shared" si="15"/>
        <v>Позитивний</v>
      </c>
      <c r="J105" s="1" t="str">
        <f>"Ні"</f>
        <v>Ні</v>
      </c>
    </row>
    <row r="106" spans="1:10" ht="135" x14ac:dyDescent="0.25">
      <c r="A106" s="1" t="str">
        <f>"92-2020/27"</f>
        <v>92-2020/27</v>
      </c>
      <c r="B106" s="1" t="str">
        <f t="shared" si="9"/>
        <v>09.01.2020</v>
      </c>
      <c r="C106" s="1" t="str">
        <f t="shared" si="7"/>
        <v>Закрито</v>
      </c>
      <c r="D10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6" s="1" t="str">
        <f>"Земельні питання"</f>
        <v>Земельні питання</v>
      </c>
      <c r="F1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6" s="1" t="str">
        <f>"3"</f>
        <v>3</v>
      </c>
      <c r="H106" s="1" t="str">
        <f>"Результат"</f>
        <v>Результат</v>
      </c>
      <c r="I106" s="1" t="str">
        <f t="shared" si="15"/>
        <v>Позитивний</v>
      </c>
      <c r="J106" s="1" t="str">
        <f>"Ні"</f>
        <v>Ні</v>
      </c>
    </row>
    <row r="107" spans="1:10" ht="45" x14ac:dyDescent="0.25">
      <c r="A107" s="1" t="str">
        <f>"124-2020/27"</f>
        <v>124-2020/27</v>
      </c>
      <c r="B107" s="1" t="str">
        <f t="shared" ref="B107:B140" si="16">"10.01.2020"</f>
        <v>10.01.2020</v>
      </c>
      <c r="C107" s="1" t="str">
        <f t="shared" si="7"/>
        <v>Закрито</v>
      </c>
      <c r="D107" s="1" t="str">
        <f>"Реєстрація місця проживання особи"</f>
        <v>Реєстрація місця проживання особи</v>
      </c>
      <c r="E107" s="1" t="str">
        <f>"Реєстрація місця проживання"</f>
        <v>Реєстрація місця проживання</v>
      </c>
      <c r="F107" s="1" t="str">
        <f>"Відділ реєстрації Новокаховської міської ради"</f>
        <v>Відділ реєстрації Новокаховської міської ради</v>
      </c>
      <c r="G107" s="1" t="str">
        <f t="shared" ref="G107:G114" si="17">"1"</f>
        <v>1</v>
      </c>
      <c r="H107" s="1" t="str">
        <f>"Результат"</f>
        <v>Результат</v>
      </c>
      <c r="I107" s="1" t="str">
        <f t="shared" si="15"/>
        <v>Позитивний</v>
      </c>
      <c r="J107" s="1" t="str">
        <f t="shared" ref="J107:J114" si="18">"Так"</f>
        <v>Так</v>
      </c>
    </row>
    <row r="108" spans="1:10" ht="45" x14ac:dyDescent="0.25">
      <c r="A108" s="1" t="str">
        <f>"112-2020/27"</f>
        <v>112-2020/27</v>
      </c>
      <c r="B108" s="1" t="str">
        <f t="shared" si="16"/>
        <v>10.01.2020</v>
      </c>
      <c r="C108" s="1" t="str">
        <f t="shared" si="7"/>
        <v>Закрито</v>
      </c>
      <c r="D108" s="1" t="str">
        <f>"Зняття з реєстрації місця проживання"</f>
        <v>Зняття з реєстрації місця проживання</v>
      </c>
      <c r="E108" s="1" t="str">
        <f>"Реєстрація місця проживання"</f>
        <v>Реєстрація місця проживання</v>
      </c>
      <c r="F108" s="1" t="str">
        <f>"Відділ реєстрації Новокаховської міської ради"</f>
        <v>Відділ реєстрації Новокаховської міської ради</v>
      </c>
      <c r="G108" s="1" t="str">
        <f t="shared" si="17"/>
        <v>1</v>
      </c>
      <c r="H108" s="1" t="str">
        <f>"Результат"</f>
        <v>Результат</v>
      </c>
      <c r="I108" s="1" t="str">
        <f t="shared" si="15"/>
        <v>Позитивний</v>
      </c>
      <c r="J108" s="1" t="str">
        <f t="shared" si="18"/>
        <v>Так</v>
      </c>
    </row>
    <row r="109" spans="1:10" ht="45" x14ac:dyDescent="0.25">
      <c r="A109" s="1" t="str">
        <f>"120-2020/27"</f>
        <v>120-2020/27</v>
      </c>
      <c r="B109" s="1" t="str">
        <f t="shared" si="16"/>
        <v>10.01.2020</v>
      </c>
      <c r="C109" s="1" t="str">
        <f t="shared" si="7"/>
        <v>Закрито</v>
      </c>
      <c r="D109" s="1" t="str">
        <f>"Зняття з реєстрації місця проживання"</f>
        <v>Зняття з реєстрації місця проживання</v>
      </c>
      <c r="E109" s="1" t="str">
        <f>"Реєстрація місця проживання"</f>
        <v>Реєстрація місця проживання</v>
      </c>
      <c r="F109" s="1" t="str">
        <f>"Відділ реєстрації Новокаховської міської ради"</f>
        <v>Відділ реєстрації Новокаховської міської ради</v>
      </c>
      <c r="G109" s="1" t="str">
        <f t="shared" si="17"/>
        <v>1</v>
      </c>
      <c r="H109" s="1" t="str">
        <f>"Результат"</f>
        <v>Результат</v>
      </c>
      <c r="I109" s="1" t="str">
        <f t="shared" si="15"/>
        <v>Позитивний</v>
      </c>
      <c r="J109" s="1" t="str">
        <f t="shared" si="18"/>
        <v>Так</v>
      </c>
    </row>
    <row r="110" spans="1:10" ht="45" x14ac:dyDescent="0.25">
      <c r="A110" s="1" t="str">
        <f>"109-2020/27"</f>
        <v>109-2020/27</v>
      </c>
      <c r="B110" s="1" t="str">
        <f t="shared" si="16"/>
        <v>10.01.2020</v>
      </c>
      <c r="C110" s="1" t="str">
        <f t="shared" si="7"/>
        <v>Закрито</v>
      </c>
      <c r="D110" s="1" t="str">
        <f>"Зняття з реєстрації місця проживання"</f>
        <v>Зняття з реєстрації місця проживання</v>
      </c>
      <c r="E110" s="1" t="str">
        <f>"Реєстрація місця проживання"</f>
        <v>Реєстрація місця проживання</v>
      </c>
      <c r="F110" s="1" t="str">
        <f>"Відділ реєстрації Новокаховської міської ради"</f>
        <v>Відділ реєстрації Новокаховської міської ради</v>
      </c>
      <c r="G110" s="1" t="str">
        <f t="shared" si="17"/>
        <v>1</v>
      </c>
      <c r="H110" s="1" t="str">
        <f>"Результат"</f>
        <v>Результат</v>
      </c>
      <c r="I110" s="1" t="str">
        <f t="shared" si="15"/>
        <v>Позитивний</v>
      </c>
      <c r="J110" s="1" t="str">
        <f t="shared" si="18"/>
        <v>Так</v>
      </c>
    </row>
    <row r="111" spans="1:10" ht="105" x14ac:dyDescent="0.25">
      <c r="A111" s="1" t="str">
        <f>"131-2020/27"</f>
        <v>131-2020/27</v>
      </c>
      <c r="B111" s="1" t="str">
        <f t="shared" si="16"/>
        <v>10.01.2020</v>
      </c>
      <c r="C111" s="1" t="str">
        <f t="shared" si="7"/>
        <v>Закрито</v>
      </c>
      <c r="D11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1" s="1" t="str">
        <f>"Земельні питання"</f>
        <v>Земельні питання</v>
      </c>
      <c r="F11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1" s="1" t="str">
        <f t="shared" si="17"/>
        <v>1</v>
      </c>
      <c r="H111" s="1" t="str">
        <f>"Результат"</f>
        <v>Результат</v>
      </c>
      <c r="I111" s="1" t="str">
        <f t="shared" si="15"/>
        <v>Позитивний</v>
      </c>
      <c r="J111" s="1" t="str">
        <f t="shared" si="18"/>
        <v>Так</v>
      </c>
    </row>
    <row r="112" spans="1:10" ht="45" x14ac:dyDescent="0.25">
      <c r="A112" s="1" t="str">
        <f>"102-2020/27"</f>
        <v>102-2020/27</v>
      </c>
      <c r="B112" s="1" t="str">
        <f t="shared" si="16"/>
        <v>10.01.2020</v>
      </c>
      <c r="C112" s="1" t="str">
        <f t="shared" si="7"/>
        <v>Закрито</v>
      </c>
      <c r="D112" s="1" t="str">
        <f>"Зняття з реєстрації місця проживання"</f>
        <v>Зняття з реєстрації місця проживання</v>
      </c>
      <c r="E112" s="1" t="str">
        <f>"Реєстрація місця проживання"</f>
        <v>Реєстрація місця проживання</v>
      </c>
      <c r="F112" s="1" t="str">
        <f>"Відділ реєстрації Новокаховської міської ради"</f>
        <v>Відділ реєстрації Новокаховської міської ради</v>
      </c>
      <c r="G112" s="1" t="str">
        <f t="shared" si="17"/>
        <v>1</v>
      </c>
      <c r="H112" s="1" t="str">
        <f>"Результат"</f>
        <v>Результат</v>
      </c>
      <c r="I112" s="1" t="str">
        <f t="shared" si="15"/>
        <v>Позитивний</v>
      </c>
      <c r="J112" s="1" t="str">
        <f t="shared" si="18"/>
        <v>Так</v>
      </c>
    </row>
    <row r="113" spans="1:10" ht="45" x14ac:dyDescent="0.25">
      <c r="A113" s="1" t="str">
        <f>"128-2020/27"</f>
        <v>128-2020/27</v>
      </c>
      <c r="B113" s="1" t="str">
        <f t="shared" si="16"/>
        <v>10.01.2020</v>
      </c>
      <c r="C113" s="1" t="str">
        <f t="shared" si="7"/>
        <v>Закрито</v>
      </c>
      <c r="D113" s="1" t="str">
        <f>"Реєстрація місця проживання особи"</f>
        <v>Реєстрація місця проживання особи</v>
      </c>
      <c r="E113" s="1" t="str">
        <f>"Реєстрація місця проживання"</f>
        <v>Реєстрація місця проживання</v>
      </c>
      <c r="F113" s="1" t="str">
        <f>"Відділ реєстрації Новокаховської міської ради"</f>
        <v>Відділ реєстрації Новокаховської міської ради</v>
      </c>
      <c r="G113" s="1" t="str">
        <f t="shared" si="17"/>
        <v>1</v>
      </c>
      <c r="H113" s="1" t="str">
        <f>"Результат"</f>
        <v>Результат</v>
      </c>
      <c r="I113" s="1" t="str">
        <f t="shared" si="15"/>
        <v>Позитивний</v>
      </c>
      <c r="J113" s="1" t="str">
        <f t="shared" si="18"/>
        <v>Так</v>
      </c>
    </row>
    <row r="114" spans="1:10" ht="45" x14ac:dyDescent="0.25">
      <c r="A114" s="1" t="str">
        <f>"125-2020/27"</f>
        <v>125-2020/27</v>
      </c>
      <c r="B114" s="1" t="str">
        <f t="shared" si="16"/>
        <v>10.01.2020</v>
      </c>
      <c r="C114" s="1" t="str">
        <f t="shared" si="7"/>
        <v>Закрито</v>
      </c>
      <c r="D114" s="1" t="str">
        <f>"Зняття з реєстрації місця проживання"</f>
        <v>Зняття з реєстрації місця проживання</v>
      </c>
      <c r="E114" s="1" t="str">
        <f>"Реєстрація місця проживання"</f>
        <v>Реєстрація місця проживання</v>
      </c>
      <c r="F114" s="1" t="str">
        <f>"Відділ реєстрації Новокаховської міської ради"</f>
        <v>Відділ реєстрації Новокаховської міської ради</v>
      </c>
      <c r="G114" s="1" t="str">
        <f t="shared" si="17"/>
        <v>1</v>
      </c>
      <c r="H114" s="1" t="str">
        <f>"Результат"</f>
        <v>Результат</v>
      </c>
      <c r="I114" s="1" t="str">
        <f t="shared" si="15"/>
        <v>Позитивний</v>
      </c>
      <c r="J114" s="1" t="str">
        <f t="shared" si="18"/>
        <v>Так</v>
      </c>
    </row>
    <row r="115" spans="1:10" ht="90" x14ac:dyDescent="0.25">
      <c r="A115" s="1" t="str">
        <f>"106-2020/27"</f>
        <v>106-2020/27</v>
      </c>
      <c r="B115" s="1" t="str">
        <f t="shared" si="16"/>
        <v>10.01.2020</v>
      </c>
      <c r="C115" s="1" t="str">
        <f t="shared" si="7"/>
        <v>Закрито</v>
      </c>
      <c r="D11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15" s="1" t="str">
        <f>"Інші послуги"</f>
        <v>Інші послуги</v>
      </c>
      <c r="F11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15" s="1" t="str">
        <f>"5"</f>
        <v>5</v>
      </c>
      <c r="H115" s="1" t="str">
        <f>"Результат"</f>
        <v>Результат</v>
      </c>
      <c r="I115" s="1" t="str">
        <f t="shared" si="15"/>
        <v>Позитивний</v>
      </c>
      <c r="J115" s="1" t="str">
        <f>"Ні"</f>
        <v>Ні</v>
      </c>
    </row>
    <row r="116" spans="1:10" ht="45" x14ac:dyDescent="0.25">
      <c r="A116" s="1" t="str">
        <f>"113-2020/27"</f>
        <v>113-2020/27</v>
      </c>
      <c r="B116" s="1" t="str">
        <f t="shared" si="16"/>
        <v>10.01.2020</v>
      </c>
      <c r="C116" s="1" t="str">
        <f t="shared" si="7"/>
        <v>Закрито</v>
      </c>
      <c r="D116" s="1" t="str">
        <f>"Реєстрація місця проживання особи"</f>
        <v>Реєстрація місця проживання особи</v>
      </c>
      <c r="E116" s="1" t="str">
        <f>"Реєстрація місця проживання"</f>
        <v>Реєстрація місця проживання</v>
      </c>
      <c r="F116" s="1" t="str">
        <f>"Відділ реєстрації Новокаховської міської ради"</f>
        <v>Відділ реєстрації Новокаховської міської ради</v>
      </c>
      <c r="G116" s="1" t="str">
        <f>"1"</f>
        <v>1</v>
      </c>
      <c r="H116" s="1" t="str">
        <f>"Результат"</f>
        <v>Результат</v>
      </c>
      <c r="I116" s="1" t="str">
        <f t="shared" si="15"/>
        <v>Позитивний</v>
      </c>
      <c r="J116" s="1" t="str">
        <f>"Так"</f>
        <v>Так</v>
      </c>
    </row>
    <row r="117" spans="1:10" ht="105" x14ac:dyDescent="0.25">
      <c r="A117" s="1" t="str">
        <f>"132-2020/27"</f>
        <v>132-2020/27</v>
      </c>
      <c r="B117" s="1" t="str">
        <f t="shared" si="16"/>
        <v>10.01.2020</v>
      </c>
      <c r="C117" s="1" t="str">
        <f t="shared" si="7"/>
        <v>Закрито</v>
      </c>
      <c r="D11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7" s="1" t="str">
        <f>"Земельні питання"</f>
        <v>Земельні питання</v>
      </c>
      <c r="F11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7" s="1" t="str">
        <f>"1"</f>
        <v>1</v>
      </c>
      <c r="H117" s="1" t="str">
        <f>"Результат"</f>
        <v>Результат</v>
      </c>
      <c r="I117" s="1" t="str">
        <f t="shared" si="15"/>
        <v>Позитивний</v>
      </c>
      <c r="J117" s="1" t="str">
        <f>"Так"</f>
        <v>Так</v>
      </c>
    </row>
    <row r="118" spans="1:10" ht="45" x14ac:dyDescent="0.25">
      <c r="A118" s="1" t="str">
        <f>"129-2020/27"</f>
        <v>129-2020/27</v>
      </c>
      <c r="B118" s="1" t="str">
        <f t="shared" si="16"/>
        <v>10.01.2020</v>
      </c>
      <c r="C118" s="1" t="str">
        <f t="shared" si="7"/>
        <v>Закрито</v>
      </c>
      <c r="D118" s="1" t="str">
        <f>"Реєстрація місця проживання особи"</f>
        <v>Реєстрація місця проживання особи</v>
      </c>
      <c r="E118" s="1" t="str">
        <f>"Реєстрація місця проживання"</f>
        <v>Реєстрація місця проживання</v>
      </c>
      <c r="F118" s="1" t="str">
        <f>"Відділ реєстрації Новокаховської міської ради"</f>
        <v>Відділ реєстрації Новокаховської міської ради</v>
      </c>
      <c r="G118" s="1" t="str">
        <f>"1"</f>
        <v>1</v>
      </c>
      <c r="H118" s="1" t="str">
        <f>"Результат"</f>
        <v>Результат</v>
      </c>
      <c r="I118" s="1" t="str">
        <f t="shared" si="15"/>
        <v>Позитивний</v>
      </c>
      <c r="J118" s="1" t="str">
        <f>"Так"</f>
        <v>Так</v>
      </c>
    </row>
    <row r="119" spans="1:10" ht="225" x14ac:dyDescent="0.25">
      <c r="A119" s="1" t="str">
        <f>"118-2020/27"</f>
        <v>118-2020/27</v>
      </c>
      <c r="B119" s="1" t="str">
        <f t="shared" si="16"/>
        <v>10.01.2020</v>
      </c>
      <c r="C119" s="1" t="str">
        <f t="shared" si="7"/>
        <v>Закрито</v>
      </c>
      <c r="D119" s="1" t="s">
        <v>1</v>
      </c>
      <c r="E119" s="1" t="str">
        <f>"Будівництво"</f>
        <v>Будівництво</v>
      </c>
      <c r="F11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19" s="1" t="str">
        <f>"30"</f>
        <v>30</v>
      </c>
      <c r="H119" s="1" t="str">
        <f>"Результат"</f>
        <v>Результат</v>
      </c>
      <c r="I119" s="1" t="str">
        <f t="shared" si="15"/>
        <v>Позитивний</v>
      </c>
      <c r="J119" s="1" t="str">
        <f>"Ні"</f>
        <v>Ні</v>
      </c>
    </row>
    <row r="120" spans="1:10" ht="135" x14ac:dyDescent="0.25">
      <c r="A120" s="1" t="str">
        <f>"115-2020/27"</f>
        <v>115-2020/27</v>
      </c>
      <c r="B120" s="1" t="str">
        <f t="shared" si="16"/>
        <v>10.01.2020</v>
      </c>
      <c r="C120" s="1" t="str">
        <f t="shared" si="7"/>
        <v>Закрито</v>
      </c>
      <c r="D12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0" s="1" t="str">
        <f>"Земельні питання"</f>
        <v>Земельні питання</v>
      </c>
      <c r="F1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" s="1" t="str">
        <f>"3"</f>
        <v>3</v>
      </c>
      <c r="H120" s="1" t="str">
        <f>"Результат"</f>
        <v>Результат</v>
      </c>
      <c r="I120" s="1" t="str">
        <f t="shared" si="15"/>
        <v>Позитивний</v>
      </c>
      <c r="J120" s="1" t="str">
        <f>"Ні"</f>
        <v>Ні</v>
      </c>
    </row>
    <row r="121" spans="1:10" ht="45" x14ac:dyDescent="0.25">
      <c r="A121" s="1" t="str">
        <f>"114-2020/27"</f>
        <v>114-2020/27</v>
      </c>
      <c r="B121" s="1" t="str">
        <f t="shared" si="16"/>
        <v>10.01.2020</v>
      </c>
      <c r="C121" s="1" t="str">
        <f t="shared" si="7"/>
        <v>Закрито</v>
      </c>
      <c r="D121" s="1" t="str">
        <f>"Реєстрація місця проживання особи"</f>
        <v>Реєстрація місця проживання особи</v>
      </c>
      <c r="E121" s="1" t="str">
        <f>"Реєстрація місця проживання"</f>
        <v>Реєстрація місця проживання</v>
      </c>
      <c r="F121" s="1" t="str">
        <f>"Відділ реєстрації Новокаховської міської ради"</f>
        <v>Відділ реєстрації Новокаховської міської ради</v>
      </c>
      <c r="G121" s="1" t="str">
        <f>"1"</f>
        <v>1</v>
      </c>
      <c r="H121" s="1" t="str">
        <f>"Результат"</f>
        <v>Результат</v>
      </c>
      <c r="I121" s="1" t="str">
        <f t="shared" si="15"/>
        <v>Позитивний</v>
      </c>
      <c r="J121" s="1" t="str">
        <f>"Так"</f>
        <v>Так</v>
      </c>
    </row>
    <row r="122" spans="1:10" ht="45" x14ac:dyDescent="0.25">
      <c r="A122" s="1" t="str">
        <f>"105-2020/27"</f>
        <v>105-2020/27</v>
      </c>
      <c r="B122" s="1" t="str">
        <f t="shared" si="16"/>
        <v>10.01.2020</v>
      </c>
      <c r="C122" s="1" t="str">
        <f t="shared" si="7"/>
        <v>Закрито</v>
      </c>
      <c r="D122" s="1" t="str">
        <f>"Реєстрація місця проживання особи"</f>
        <v>Реєстрація місця проживання особи</v>
      </c>
      <c r="E122" s="1" t="str">
        <f>"Реєстрація місця проживання"</f>
        <v>Реєстрація місця проживання</v>
      </c>
      <c r="F122" s="1" t="str">
        <f>"Відділ реєстрації Новокаховської міської ради"</f>
        <v>Відділ реєстрації Новокаховської міської ради</v>
      </c>
      <c r="G122" s="1" t="str">
        <f>"1"</f>
        <v>1</v>
      </c>
      <c r="H122" s="1" t="str">
        <f>"Результат"</f>
        <v>Результат</v>
      </c>
      <c r="I122" s="1" t="str">
        <f t="shared" si="15"/>
        <v>Позитивний</v>
      </c>
      <c r="J122" s="1" t="str">
        <f>"Так"</f>
        <v>Так</v>
      </c>
    </row>
    <row r="123" spans="1:10" ht="135" x14ac:dyDescent="0.25">
      <c r="A123" s="1" t="str">
        <f>"111-2020/27"</f>
        <v>111-2020/27</v>
      </c>
      <c r="B123" s="1" t="str">
        <f t="shared" si="16"/>
        <v>10.01.2020</v>
      </c>
      <c r="C123" s="1" t="str">
        <f t="shared" si="7"/>
        <v>Закрито</v>
      </c>
      <c r="D12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3" s="1" t="str">
        <f>"Земельні питання"</f>
        <v>Земельні питання</v>
      </c>
      <c r="F1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3" s="1" t="str">
        <f>"3"</f>
        <v>3</v>
      </c>
      <c r="H123" s="1" t="str">
        <f>"Результат"</f>
        <v>Результат</v>
      </c>
      <c r="I123" s="1" t="str">
        <f t="shared" si="15"/>
        <v>Позитивний</v>
      </c>
      <c r="J123" s="1" t="str">
        <f>"Ні"</f>
        <v>Ні</v>
      </c>
    </row>
    <row r="124" spans="1:10" ht="135" x14ac:dyDescent="0.25">
      <c r="A124" s="1" t="str">
        <f>"107-2020/27"</f>
        <v>107-2020/27</v>
      </c>
      <c r="B124" s="1" t="str">
        <f t="shared" si="16"/>
        <v>10.01.2020</v>
      </c>
      <c r="C124" s="1" t="str">
        <f t="shared" si="7"/>
        <v>Закрито</v>
      </c>
      <c r="D12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24" s="1" t="str">
        <f>"Земельні питання"</f>
        <v>Земельні питання</v>
      </c>
      <c r="F1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4" s="1" t="str">
        <f>"14"</f>
        <v>14</v>
      </c>
      <c r="H124" s="1" t="str">
        <f>"Результат"</f>
        <v>Результат</v>
      </c>
      <c r="I124" s="1" t="str">
        <f t="shared" si="15"/>
        <v>Позитивний</v>
      </c>
      <c r="J124" s="1" t="str">
        <f>"Ні"</f>
        <v>Ні</v>
      </c>
    </row>
    <row r="125" spans="1:10" ht="135" x14ac:dyDescent="0.25">
      <c r="A125" s="1" t="str">
        <f>"117-2020/27"</f>
        <v>117-2020/27</v>
      </c>
      <c r="B125" s="1" t="str">
        <f t="shared" si="16"/>
        <v>10.01.2020</v>
      </c>
      <c r="C125" s="1" t="str">
        <f t="shared" si="7"/>
        <v>Закрито</v>
      </c>
      <c r="D1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5" s="1" t="str">
        <f>"Земельні питання"</f>
        <v>Земельні питання</v>
      </c>
      <c r="F1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" s="1" t="str">
        <f>"3"</f>
        <v>3</v>
      </c>
      <c r="H125" s="1" t="str">
        <f>"Результат"</f>
        <v>Результат</v>
      </c>
      <c r="I125" s="1" t="str">
        <f t="shared" si="15"/>
        <v>Позитивний</v>
      </c>
      <c r="J125" s="1" t="str">
        <f>"Ні"</f>
        <v>Ні</v>
      </c>
    </row>
    <row r="126" spans="1:10" ht="105" x14ac:dyDescent="0.25">
      <c r="A126" s="1" t="str">
        <f>"126-2020/27"</f>
        <v>126-2020/27</v>
      </c>
      <c r="B126" s="1" t="str">
        <f t="shared" si="16"/>
        <v>10.01.2020</v>
      </c>
      <c r="C126" s="1" t="str">
        <f t="shared" si="7"/>
        <v>Закрито</v>
      </c>
      <c r="D1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6" s="1" t="str">
        <f>"Земельні питання"</f>
        <v>Земельні питання</v>
      </c>
      <c r="F12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26" s="1" t="str">
        <f>"1"</f>
        <v>1</v>
      </c>
      <c r="H126" s="1" t="str">
        <f>"Результат"</f>
        <v>Результат</v>
      </c>
      <c r="I126" s="1" t="str">
        <f t="shared" si="15"/>
        <v>Позитивний</v>
      </c>
      <c r="J126" s="1" t="str">
        <f>"Так"</f>
        <v>Так</v>
      </c>
    </row>
    <row r="127" spans="1:10" ht="45" x14ac:dyDescent="0.25">
      <c r="A127" s="1" t="str">
        <f>"121-2020/27"</f>
        <v>121-2020/27</v>
      </c>
      <c r="B127" s="1" t="str">
        <f t="shared" si="16"/>
        <v>10.01.2020</v>
      </c>
      <c r="C127" s="1" t="str">
        <f t="shared" si="7"/>
        <v>Закрито</v>
      </c>
      <c r="D127" s="1" t="str">
        <f>"Зняття з реєстрації місця проживання"</f>
        <v>Зняття з реєстрації місця проживання</v>
      </c>
      <c r="E127" s="1" t="str">
        <f>"Реєстрація місця проживання"</f>
        <v>Реєстрація місця проживання</v>
      </c>
      <c r="F127" s="1" t="str">
        <f>"Відділ реєстрації Новокаховської міської ради"</f>
        <v>Відділ реєстрації Новокаховської міської ради</v>
      </c>
      <c r="G127" s="1" t="str">
        <f>"1"</f>
        <v>1</v>
      </c>
      <c r="H127" s="1" t="str">
        <f>"Результат"</f>
        <v>Результат</v>
      </c>
      <c r="I127" s="1" t="str">
        <f t="shared" si="15"/>
        <v>Позитивний</v>
      </c>
      <c r="J127" s="1" t="str">
        <f>"Так"</f>
        <v>Так</v>
      </c>
    </row>
    <row r="128" spans="1:10" ht="45" x14ac:dyDescent="0.25">
      <c r="A128" s="1" t="str">
        <f>"134-2020/27"</f>
        <v>134-2020/27</v>
      </c>
      <c r="B128" s="1" t="str">
        <f t="shared" si="16"/>
        <v>10.01.2020</v>
      </c>
      <c r="C128" s="1" t="str">
        <f t="shared" si="7"/>
        <v>Закрито</v>
      </c>
      <c r="D128" s="1" t="str">
        <f>"Реєстрація місця проживання особи"</f>
        <v>Реєстрація місця проживання особи</v>
      </c>
      <c r="E128" s="1" t="str">
        <f>"Реєстрація місця проживання"</f>
        <v>Реєстрація місця проживання</v>
      </c>
      <c r="F128" s="1" t="str">
        <f>"Відділ реєстрації Новокаховської міської ради"</f>
        <v>Відділ реєстрації Новокаховської міської ради</v>
      </c>
      <c r="G128" s="1" t="str">
        <f>"1"</f>
        <v>1</v>
      </c>
      <c r="H128" s="1" t="str">
        <f>"Результат"</f>
        <v>Результат</v>
      </c>
      <c r="I128" s="1" t="str">
        <f t="shared" si="15"/>
        <v>Позитивний</v>
      </c>
      <c r="J128" s="1" t="str">
        <f>"Так"</f>
        <v>Так</v>
      </c>
    </row>
    <row r="129" spans="1:10" ht="120" x14ac:dyDescent="0.25">
      <c r="A129" s="1" t="str">
        <f>"108-2020/27"</f>
        <v>108-2020/27</v>
      </c>
      <c r="B129" s="1" t="str">
        <f t="shared" si="16"/>
        <v>10.01.2020</v>
      </c>
      <c r="C129" s="1" t="str">
        <f t="shared" si="7"/>
        <v>Закрито</v>
      </c>
      <c r="D129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29" s="1" t="str">
        <f>"Будівництво"</f>
        <v>Будівництво</v>
      </c>
      <c r="F12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9" s="1" t="str">
        <f>"10"</f>
        <v>10</v>
      </c>
      <c r="H129" s="1" t="str">
        <f>"Результат"</f>
        <v>Результат</v>
      </c>
      <c r="I129" s="1" t="str">
        <f>"Мотивована відмова"</f>
        <v>Мотивована відмова</v>
      </c>
      <c r="J129" s="1" t="str">
        <f>"Ні"</f>
        <v>Ні</v>
      </c>
    </row>
    <row r="130" spans="1:10" ht="105" x14ac:dyDescent="0.25">
      <c r="A130" s="1" t="str">
        <f>"133-2020/27"</f>
        <v>133-2020/27</v>
      </c>
      <c r="B130" s="1" t="str">
        <f t="shared" si="16"/>
        <v>10.01.2020</v>
      </c>
      <c r="C130" s="1" t="str">
        <f t="shared" ref="C130:C131" si="19">"Закрито"</f>
        <v>Закрито</v>
      </c>
      <c r="D13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0" s="1" t="str">
        <f>"Земельні питання"</f>
        <v>Земельні питання</v>
      </c>
      <c r="F13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0" s="1" t="str">
        <f>"1"</f>
        <v>1</v>
      </c>
      <c r="H130" s="1" t="str">
        <f>"Результат"</f>
        <v>Результат</v>
      </c>
      <c r="I130" s="1" t="str">
        <f t="shared" ref="I130:I162" si="20">"Позитивний"</f>
        <v>Позитивний</v>
      </c>
      <c r="J130" s="1" t="str">
        <f>"Так"</f>
        <v>Так</v>
      </c>
    </row>
    <row r="131" spans="1:10" ht="120" x14ac:dyDescent="0.25">
      <c r="A131" s="1" t="str">
        <f>"116-2020/27"</f>
        <v>116-2020/27</v>
      </c>
      <c r="B131" s="1" t="str">
        <f t="shared" si="16"/>
        <v>10.01.2020</v>
      </c>
      <c r="C131" s="1" t="str">
        <f t="shared" si="19"/>
        <v>Закрито</v>
      </c>
      <c r="D131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31" s="1" t="str">
        <f>"Будівництво"</f>
        <v>Будівництво</v>
      </c>
      <c r="F13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31" s="1" t="str">
        <f>"10"</f>
        <v>10</v>
      </c>
      <c r="H131" s="1" t="str">
        <f>"Результат"</f>
        <v>Результат</v>
      </c>
      <c r="I131" s="1" t="str">
        <f t="shared" si="20"/>
        <v>Позитивний</v>
      </c>
      <c r="J131" s="1" t="str">
        <f>"Ні"</f>
        <v>Ні</v>
      </c>
    </row>
    <row r="132" spans="1:10" ht="120" x14ac:dyDescent="0.25">
      <c r="A132" s="1" t="str">
        <f>"52/К-2020/01/27"</f>
        <v>52/К-2020/01/27</v>
      </c>
      <c r="B132" s="1" t="str">
        <f t="shared" si="16"/>
        <v>10.01.2020</v>
      </c>
      <c r="C132" s="1" t="str">
        <f>"Результат підготовлено адмін. органом"</f>
        <v>Результат підготовлено адмін. органом</v>
      </c>
      <c r="D132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32" s="1" t="str">
        <f>"Будівництво"</f>
        <v>Будівництво</v>
      </c>
      <c r="F13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32" s="1" t="str">
        <f>"10"</f>
        <v>10</v>
      </c>
      <c r="H132" s="1" t="str">
        <f>"Результат"</f>
        <v>Результат</v>
      </c>
      <c r="I132" s="1" t="str">
        <f t="shared" si="20"/>
        <v>Позитивний</v>
      </c>
      <c r="J132" s="1" t="str">
        <f>"Ні"</f>
        <v>Ні</v>
      </c>
    </row>
    <row r="133" spans="1:10" ht="120" x14ac:dyDescent="0.25">
      <c r="A133" s="1" t="str">
        <f>"119-2020/27"</f>
        <v>119-2020/27</v>
      </c>
      <c r="B133" s="1" t="str">
        <f t="shared" si="16"/>
        <v>10.01.2020</v>
      </c>
      <c r="C133" s="1" t="str">
        <f t="shared" ref="C133:C196" si="21">"Закрито"</f>
        <v>Закрито</v>
      </c>
      <c r="D133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33" s="1" t="str">
        <f>"Будівництво"</f>
        <v>Будівництво</v>
      </c>
      <c r="F13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33" s="1" t="str">
        <f>"10"</f>
        <v>10</v>
      </c>
      <c r="H133" s="1" t="str">
        <f>"Результат"</f>
        <v>Результат</v>
      </c>
      <c r="I133" s="1" t="str">
        <f t="shared" si="20"/>
        <v>Позитивний</v>
      </c>
      <c r="J133" s="1" t="str">
        <f>"Ні"</f>
        <v>Ні</v>
      </c>
    </row>
    <row r="134" spans="1:10" ht="45" x14ac:dyDescent="0.25">
      <c r="A134" s="1" t="str">
        <f>"123-2020/27"</f>
        <v>123-2020/27</v>
      </c>
      <c r="B134" s="1" t="str">
        <f t="shared" si="16"/>
        <v>10.01.2020</v>
      </c>
      <c r="C134" s="1" t="str">
        <f t="shared" si="21"/>
        <v>Закрито</v>
      </c>
      <c r="D134" s="1" t="str">
        <f>"Реєстрація місця проживання особи"</f>
        <v>Реєстрація місця проживання особи</v>
      </c>
      <c r="E134" s="1" t="str">
        <f>"Реєстрація місця проживання"</f>
        <v>Реєстрація місця проживання</v>
      </c>
      <c r="F134" s="1" t="str">
        <f>"Відділ реєстрації Новокаховської міської ради"</f>
        <v>Відділ реєстрації Новокаховської міської ради</v>
      </c>
      <c r="G134" s="1" t="str">
        <f>"1"</f>
        <v>1</v>
      </c>
      <c r="H134" s="1" t="str">
        <f>"Результат"</f>
        <v>Результат</v>
      </c>
      <c r="I134" s="1" t="str">
        <f t="shared" si="20"/>
        <v>Позитивний</v>
      </c>
      <c r="J134" s="1" t="str">
        <f>"Так"</f>
        <v>Так</v>
      </c>
    </row>
    <row r="135" spans="1:10" ht="45" x14ac:dyDescent="0.25">
      <c r="A135" s="1" t="str">
        <f>"104-2020/27"</f>
        <v>104-2020/27</v>
      </c>
      <c r="B135" s="1" t="str">
        <f t="shared" si="16"/>
        <v>10.01.2020</v>
      </c>
      <c r="C135" s="1" t="str">
        <f t="shared" si="21"/>
        <v>Закрито</v>
      </c>
      <c r="D135" s="1" t="str">
        <f>"Зняття з реєстрації місця проживання"</f>
        <v>Зняття з реєстрації місця проживання</v>
      </c>
      <c r="E135" s="1" t="str">
        <f>"Реєстрація місця проживання"</f>
        <v>Реєстрація місця проживання</v>
      </c>
      <c r="F135" s="1" t="str">
        <f>"Відділ реєстрації Новокаховської міської ради"</f>
        <v>Відділ реєстрації Новокаховської міської ради</v>
      </c>
      <c r="G135" s="1" t="str">
        <f>"1"</f>
        <v>1</v>
      </c>
      <c r="H135" s="1" t="str">
        <f>"Результат"</f>
        <v>Результат</v>
      </c>
      <c r="I135" s="1" t="str">
        <f t="shared" si="20"/>
        <v>Позитивний</v>
      </c>
      <c r="J135" s="1" t="str">
        <f>"Так"</f>
        <v>Так</v>
      </c>
    </row>
    <row r="136" spans="1:10" ht="135" x14ac:dyDescent="0.25">
      <c r="A136" s="1" t="str">
        <f>"103-2020/27"</f>
        <v>103-2020/27</v>
      </c>
      <c r="B136" s="1" t="str">
        <f t="shared" si="16"/>
        <v>10.01.2020</v>
      </c>
      <c r="C136" s="1" t="str">
        <f t="shared" si="21"/>
        <v>Закрито</v>
      </c>
      <c r="D13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6" s="1" t="str">
        <f>"Земельні питання"</f>
        <v>Земельні питання</v>
      </c>
      <c r="F1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6" s="1" t="str">
        <f>"3"</f>
        <v>3</v>
      </c>
      <c r="H136" s="1" t="str">
        <f>"Результат"</f>
        <v>Результат</v>
      </c>
      <c r="I136" s="1" t="str">
        <f t="shared" si="20"/>
        <v>Позитивний</v>
      </c>
      <c r="J136" s="1" t="str">
        <f>"Ні"</f>
        <v>Ні</v>
      </c>
    </row>
    <row r="137" spans="1:10" ht="45" x14ac:dyDescent="0.25">
      <c r="A137" s="1" t="str">
        <f>"130-2020/27"</f>
        <v>130-2020/27</v>
      </c>
      <c r="B137" s="1" t="str">
        <f t="shared" si="16"/>
        <v>10.01.2020</v>
      </c>
      <c r="C137" s="1" t="str">
        <f t="shared" si="21"/>
        <v>Закрито</v>
      </c>
      <c r="D137" s="1" t="str">
        <f>"Реєстрація місця проживання особи"</f>
        <v>Реєстрація місця проживання особи</v>
      </c>
      <c r="E137" s="1" t="str">
        <f>"Реєстрація місця проживання"</f>
        <v>Реєстрація місця проживання</v>
      </c>
      <c r="F137" s="1" t="str">
        <f>"Відділ реєстрації Новокаховської міської ради"</f>
        <v>Відділ реєстрації Новокаховської міської ради</v>
      </c>
      <c r="G137" s="1" t="str">
        <f t="shared" ref="G137:G146" si="22">"1"</f>
        <v>1</v>
      </c>
      <c r="H137" s="1" t="str">
        <f>"Результат"</f>
        <v>Результат</v>
      </c>
      <c r="I137" s="1" t="str">
        <f t="shared" si="20"/>
        <v>Позитивний</v>
      </c>
      <c r="J137" s="1" t="str">
        <f t="shared" ref="J137:J146" si="23">"Так"</f>
        <v>Так</v>
      </c>
    </row>
    <row r="138" spans="1:10" ht="45" x14ac:dyDescent="0.25">
      <c r="A138" s="1" t="str">
        <f>"122-2020/27"</f>
        <v>122-2020/27</v>
      </c>
      <c r="B138" s="1" t="str">
        <f t="shared" si="16"/>
        <v>10.01.2020</v>
      </c>
      <c r="C138" s="1" t="str">
        <f t="shared" si="21"/>
        <v>Закрито</v>
      </c>
      <c r="D138" s="1" t="str">
        <f>"Зняття з реєстрації місця проживання"</f>
        <v>Зняття з реєстрації місця проживання</v>
      </c>
      <c r="E138" s="1" t="str">
        <f>"Реєстрація місця проживання"</f>
        <v>Реєстрація місця проживання</v>
      </c>
      <c r="F138" s="1" t="str">
        <f>"Відділ реєстрації Новокаховської міської ради"</f>
        <v>Відділ реєстрації Новокаховської міської ради</v>
      </c>
      <c r="G138" s="1" t="str">
        <f t="shared" si="22"/>
        <v>1</v>
      </c>
      <c r="H138" s="1" t="str">
        <f>"Результат"</f>
        <v>Результат</v>
      </c>
      <c r="I138" s="1" t="str">
        <f t="shared" si="20"/>
        <v>Позитивний</v>
      </c>
      <c r="J138" s="1" t="str">
        <f t="shared" si="23"/>
        <v>Так</v>
      </c>
    </row>
    <row r="139" spans="1:10" ht="45" x14ac:dyDescent="0.25">
      <c r="A139" s="1" t="str">
        <f>"127-2020/27"</f>
        <v>127-2020/27</v>
      </c>
      <c r="B139" s="1" t="str">
        <f t="shared" si="16"/>
        <v>10.01.2020</v>
      </c>
      <c r="C139" s="1" t="str">
        <f t="shared" si="21"/>
        <v>Закрито</v>
      </c>
      <c r="D139" s="1" t="str">
        <f>"Зняття з реєстрації місця проживання"</f>
        <v>Зняття з реєстрації місця проживання</v>
      </c>
      <c r="E139" s="1" t="str">
        <f>"Реєстрація місця проживання"</f>
        <v>Реєстрація місця проживання</v>
      </c>
      <c r="F139" s="1" t="str">
        <f>"Відділ реєстрації Новокаховської міської ради"</f>
        <v>Відділ реєстрації Новокаховської міської ради</v>
      </c>
      <c r="G139" s="1" t="str">
        <f t="shared" si="22"/>
        <v>1</v>
      </c>
      <c r="H139" s="1" t="str">
        <f>"Результат"</f>
        <v>Результат</v>
      </c>
      <c r="I139" s="1" t="str">
        <f t="shared" si="20"/>
        <v>Позитивний</v>
      </c>
      <c r="J139" s="1" t="str">
        <f t="shared" si="23"/>
        <v>Так</v>
      </c>
    </row>
    <row r="140" spans="1:10" ht="45" x14ac:dyDescent="0.25">
      <c r="A140" s="1" t="str">
        <f>"110-2020/27"</f>
        <v>110-2020/27</v>
      </c>
      <c r="B140" s="1" t="str">
        <f t="shared" si="16"/>
        <v>10.01.2020</v>
      </c>
      <c r="C140" s="1" t="str">
        <f t="shared" si="21"/>
        <v>Закрито</v>
      </c>
      <c r="D140" s="1" t="str">
        <f>"Реєстрація місця проживання особи"</f>
        <v>Реєстрація місця проживання особи</v>
      </c>
      <c r="E140" s="1" t="str">
        <f>"Реєстрація місця проживання"</f>
        <v>Реєстрація місця проживання</v>
      </c>
      <c r="F140" s="1" t="str">
        <f>"Відділ реєстрації Новокаховської міської ради"</f>
        <v>Відділ реєстрації Новокаховської міської ради</v>
      </c>
      <c r="G140" s="1" t="str">
        <f t="shared" si="22"/>
        <v>1</v>
      </c>
      <c r="H140" s="1" t="str">
        <f>"Результат"</f>
        <v>Результат</v>
      </c>
      <c r="I140" s="1" t="str">
        <f t="shared" si="20"/>
        <v>Позитивний</v>
      </c>
      <c r="J140" s="1" t="str">
        <f t="shared" si="23"/>
        <v>Так</v>
      </c>
    </row>
    <row r="141" spans="1:10" ht="105" x14ac:dyDescent="0.25">
      <c r="A141" s="1" t="str">
        <f>"140-2020/27"</f>
        <v>140-2020/27</v>
      </c>
      <c r="B141" s="1" t="str">
        <f t="shared" ref="B141:B149" si="24">"11.01.2020"</f>
        <v>11.01.2020</v>
      </c>
      <c r="C141" s="1" t="str">
        <f t="shared" si="21"/>
        <v>Закрито</v>
      </c>
      <c r="D14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1" s="1" t="str">
        <f>"Земельні питання"</f>
        <v>Земельні питання</v>
      </c>
      <c r="F14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41" s="1" t="str">
        <f t="shared" si="22"/>
        <v>1</v>
      </c>
      <c r="H141" s="1" t="str">
        <f>"Результат"</f>
        <v>Результат</v>
      </c>
      <c r="I141" s="1" t="str">
        <f t="shared" si="20"/>
        <v>Позитивний</v>
      </c>
      <c r="J141" s="1" t="str">
        <f t="shared" si="23"/>
        <v>Так</v>
      </c>
    </row>
    <row r="142" spans="1:10" ht="45" x14ac:dyDescent="0.25">
      <c r="A142" s="1" t="str">
        <f>"137-2020/27"</f>
        <v>137-2020/27</v>
      </c>
      <c r="B142" s="1" t="str">
        <f t="shared" si="24"/>
        <v>11.01.2020</v>
      </c>
      <c r="C142" s="1" t="str">
        <f t="shared" si="21"/>
        <v>Закрито</v>
      </c>
      <c r="D142" s="1" t="str">
        <f>"Реєстрація місця проживання особи"</f>
        <v>Реєстрація місця проживання особи</v>
      </c>
      <c r="E142" s="1" t="str">
        <f>"Реєстрація місця проживання"</f>
        <v>Реєстрація місця проживання</v>
      </c>
      <c r="F142" s="1" t="str">
        <f>"Відділ реєстрації Новокаховської міської ради"</f>
        <v>Відділ реєстрації Новокаховської міської ради</v>
      </c>
      <c r="G142" s="1" t="str">
        <f t="shared" si="22"/>
        <v>1</v>
      </c>
      <c r="H142" s="1" t="str">
        <f>"Результат"</f>
        <v>Результат</v>
      </c>
      <c r="I142" s="1" t="str">
        <f t="shared" si="20"/>
        <v>Позитивний</v>
      </c>
      <c r="J142" s="1" t="str">
        <f t="shared" si="23"/>
        <v>Так</v>
      </c>
    </row>
    <row r="143" spans="1:10" ht="45" x14ac:dyDescent="0.25">
      <c r="A143" s="1" t="str">
        <f>"141-2020/27"</f>
        <v>141-2020/27</v>
      </c>
      <c r="B143" s="1" t="str">
        <f t="shared" si="24"/>
        <v>11.01.2020</v>
      </c>
      <c r="C143" s="1" t="str">
        <f t="shared" si="21"/>
        <v>Закрито</v>
      </c>
      <c r="D143" s="1" t="str">
        <f>"Реєстрація місця проживання особи"</f>
        <v>Реєстрація місця проживання особи</v>
      </c>
      <c r="E143" s="1" t="str">
        <f>"Реєстрація місця проживання"</f>
        <v>Реєстрація місця проживання</v>
      </c>
      <c r="F143" s="1" t="str">
        <f>"Відділ реєстрації Новокаховської міської ради"</f>
        <v>Відділ реєстрації Новокаховської міської ради</v>
      </c>
      <c r="G143" s="1" t="str">
        <f t="shared" si="22"/>
        <v>1</v>
      </c>
      <c r="H143" s="1" t="str">
        <f>"Результат"</f>
        <v>Результат</v>
      </c>
      <c r="I143" s="1" t="str">
        <f t="shared" si="20"/>
        <v>Позитивний</v>
      </c>
      <c r="J143" s="1" t="str">
        <f t="shared" si="23"/>
        <v>Так</v>
      </c>
    </row>
    <row r="144" spans="1:10" ht="45" x14ac:dyDescent="0.25">
      <c r="A144" s="1" t="str">
        <f>"143-2020/27"</f>
        <v>143-2020/27</v>
      </c>
      <c r="B144" s="1" t="str">
        <f t="shared" si="24"/>
        <v>11.01.2020</v>
      </c>
      <c r="C144" s="1" t="str">
        <f t="shared" si="21"/>
        <v>Закрито</v>
      </c>
      <c r="D144" s="1" t="str">
        <f>"Реєстрація місця проживання особи"</f>
        <v>Реєстрація місця проживання особи</v>
      </c>
      <c r="E144" s="1" t="str">
        <f>"Реєстрація місця проживання"</f>
        <v>Реєстрація місця проживання</v>
      </c>
      <c r="F144" s="1" t="str">
        <f>"Відділ реєстрації Новокаховської міської ради"</f>
        <v>Відділ реєстрації Новокаховської міської ради</v>
      </c>
      <c r="G144" s="1" t="str">
        <f t="shared" si="22"/>
        <v>1</v>
      </c>
      <c r="H144" s="1" t="str">
        <f>"Результат"</f>
        <v>Результат</v>
      </c>
      <c r="I144" s="1" t="str">
        <f t="shared" si="20"/>
        <v>Позитивний</v>
      </c>
      <c r="J144" s="1" t="str">
        <f t="shared" si="23"/>
        <v>Так</v>
      </c>
    </row>
    <row r="145" spans="1:10" ht="45" x14ac:dyDescent="0.25">
      <c r="A145" s="1" t="str">
        <f>"139-2020/27"</f>
        <v>139-2020/27</v>
      </c>
      <c r="B145" s="1" t="str">
        <f t="shared" si="24"/>
        <v>11.01.2020</v>
      </c>
      <c r="C145" s="1" t="str">
        <f t="shared" si="21"/>
        <v>Закрито</v>
      </c>
      <c r="D145" s="1" t="str">
        <f>"Зняття з реєстрації місця проживання"</f>
        <v>Зняття з реєстрації місця проживання</v>
      </c>
      <c r="E145" s="1" t="str">
        <f>"Реєстрація місця проживання"</f>
        <v>Реєстрація місця проживання</v>
      </c>
      <c r="F145" s="1" t="str">
        <f>"Відділ реєстрації Новокаховської міської ради"</f>
        <v>Відділ реєстрації Новокаховської міської ради</v>
      </c>
      <c r="G145" s="1" t="str">
        <f t="shared" si="22"/>
        <v>1</v>
      </c>
      <c r="H145" s="1" t="str">
        <f>"Результат"</f>
        <v>Результат</v>
      </c>
      <c r="I145" s="1" t="str">
        <f t="shared" si="20"/>
        <v>Позитивний</v>
      </c>
      <c r="J145" s="1" t="str">
        <f t="shared" si="23"/>
        <v>Так</v>
      </c>
    </row>
    <row r="146" spans="1:10" ht="45" x14ac:dyDescent="0.25">
      <c r="A146" s="1" t="str">
        <f>"142-2020/27"</f>
        <v>142-2020/27</v>
      </c>
      <c r="B146" s="1" t="str">
        <f t="shared" si="24"/>
        <v>11.01.2020</v>
      </c>
      <c r="C146" s="1" t="str">
        <f t="shared" si="21"/>
        <v>Закрито</v>
      </c>
      <c r="D146" s="1" t="str">
        <f>"Реєстрація місця проживання особи"</f>
        <v>Реєстрація місця проживання особи</v>
      </c>
      <c r="E146" s="1" t="str">
        <f>"Реєстрація місця проживання"</f>
        <v>Реєстрація місця проживання</v>
      </c>
      <c r="F146" s="1" t="str">
        <f>"Відділ реєстрації Новокаховської міської ради"</f>
        <v>Відділ реєстрації Новокаховської міської ради</v>
      </c>
      <c r="G146" s="1" t="str">
        <f t="shared" si="22"/>
        <v>1</v>
      </c>
      <c r="H146" s="1" t="str">
        <f>"Результат"</f>
        <v>Результат</v>
      </c>
      <c r="I146" s="1" t="str">
        <f t="shared" si="20"/>
        <v>Позитивний</v>
      </c>
      <c r="J146" s="1" t="str">
        <f t="shared" si="23"/>
        <v>Так</v>
      </c>
    </row>
    <row r="147" spans="1:10" ht="90" x14ac:dyDescent="0.25">
      <c r="A147" s="1" t="str">
        <f>"136-2020/27"</f>
        <v>136-2020/27</v>
      </c>
      <c r="B147" s="1" t="str">
        <f t="shared" si="24"/>
        <v>11.01.2020</v>
      </c>
      <c r="C147" s="1" t="str">
        <f t="shared" si="21"/>
        <v>Закрито</v>
      </c>
      <c r="D14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7" s="1" t="str">
        <f>"Інші послуги"</f>
        <v>Інші послуги</v>
      </c>
      <c r="F14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7" s="1" t="str">
        <f>"5"</f>
        <v>5</v>
      </c>
      <c r="H147" s="1" t="str">
        <f>"Результат"</f>
        <v>Результат</v>
      </c>
      <c r="I147" s="1" t="str">
        <f t="shared" si="20"/>
        <v>Позитивний</v>
      </c>
      <c r="J147" s="1" t="str">
        <f>"Ні"</f>
        <v>Ні</v>
      </c>
    </row>
    <row r="148" spans="1:10" ht="135" x14ac:dyDescent="0.25">
      <c r="A148" s="1" t="str">
        <f>"135-2020/27"</f>
        <v>135-2020/27</v>
      </c>
      <c r="B148" s="1" t="str">
        <f t="shared" si="24"/>
        <v>11.01.2020</v>
      </c>
      <c r="C148" s="1" t="str">
        <f t="shared" si="21"/>
        <v>Закрито</v>
      </c>
      <c r="D14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8" s="1" t="str">
        <f>"Земельні питання"</f>
        <v>Земельні питання</v>
      </c>
      <c r="F1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8" s="1" t="str">
        <f>"3"</f>
        <v>3</v>
      </c>
      <c r="H148" s="1" t="str">
        <f>"Результат"</f>
        <v>Результат</v>
      </c>
      <c r="I148" s="1" t="str">
        <f t="shared" si="20"/>
        <v>Позитивний</v>
      </c>
      <c r="J148" s="1" t="str">
        <f>"Ні"</f>
        <v>Ні</v>
      </c>
    </row>
    <row r="149" spans="1:10" ht="135" x14ac:dyDescent="0.25">
      <c r="A149" s="1" t="str">
        <f>"138-2020/27"</f>
        <v>138-2020/27</v>
      </c>
      <c r="B149" s="1" t="str">
        <f t="shared" si="24"/>
        <v>11.01.2020</v>
      </c>
      <c r="C149" s="1" t="str">
        <f t="shared" si="21"/>
        <v>Закрито</v>
      </c>
      <c r="D14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9" s="1" t="str">
        <f>"Земельні питання"</f>
        <v>Земельні питання</v>
      </c>
      <c r="F1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9" s="1" t="str">
        <f>"3"</f>
        <v>3</v>
      </c>
      <c r="H149" s="1" t="str">
        <f>"Результат"</f>
        <v>Результат</v>
      </c>
      <c r="I149" s="1" t="str">
        <f t="shared" si="20"/>
        <v>Позитивний</v>
      </c>
      <c r="J149" s="1" t="str">
        <f>"Ні"</f>
        <v>Ні</v>
      </c>
    </row>
    <row r="150" spans="1:10" ht="45" x14ac:dyDescent="0.25">
      <c r="A150" s="1" t="str">
        <f>"161-2020/27"</f>
        <v>161-2020/27</v>
      </c>
      <c r="B150" s="1" t="str">
        <f t="shared" ref="B150:B186" si="25">"13.01.2020"</f>
        <v>13.01.2020</v>
      </c>
      <c r="C150" s="1" t="str">
        <f t="shared" si="21"/>
        <v>Закрито</v>
      </c>
      <c r="D150" s="1" t="str">
        <f>"Реєстрація місця проживання особи"</f>
        <v>Реєстрація місця проживання особи</v>
      </c>
      <c r="E150" s="1" t="str">
        <f>"Реєстрація місця проживання"</f>
        <v>Реєстрація місця проживання</v>
      </c>
      <c r="F150" s="1" t="str">
        <f>"Відділ реєстрації Новокаховської міської ради"</f>
        <v>Відділ реєстрації Новокаховської міської ради</v>
      </c>
      <c r="G150" s="1" t="str">
        <f>"1"</f>
        <v>1</v>
      </c>
      <c r="H150" s="1" t="str">
        <f>"Результат"</f>
        <v>Результат</v>
      </c>
      <c r="I150" s="1" t="str">
        <f t="shared" si="20"/>
        <v>Позитивний</v>
      </c>
      <c r="J150" s="1" t="str">
        <f>"Так"</f>
        <v>Так</v>
      </c>
    </row>
    <row r="151" spans="1:10" ht="90" x14ac:dyDescent="0.25">
      <c r="A151" s="1" t="str">
        <f>"159-2020/27"</f>
        <v>159-2020/27</v>
      </c>
      <c r="B151" s="1" t="str">
        <f t="shared" si="25"/>
        <v>13.01.2020</v>
      </c>
      <c r="C151" s="1" t="str">
        <f t="shared" si="21"/>
        <v>Закрито</v>
      </c>
      <c r="D15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1" s="1" t="str">
        <f>"Інші послуги"</f>
        <v>Інші послуги</v>
      </c>
      <c r="F15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1" s="1" t="str">
        <f>"5"</f>
        <v>5</v>
      </c>
      <c r="H151" s="1" t="str">
        <f>"Результат"</f>
        <v>Результат</v>
      </c>
      <c r="I151" s="1" t="str">
        <f t="shared" si="20"/>
        <v>Позитивний</v>
      </c>
      <c r="J151" s="1" t="str">
        <f t="shared" ref="J151:J157" si="26">"Ні"</f>
        <v>Ні</v>
      </c>
    </row>
    <row r="152" spans="1:10" ht="135" x14ac:dyDescent="0.25">
      <c r="A152" s="1" t="str">
        <f>"179-2020/27"</f>
        <v>179-2020/27</v>
      </c>
      <c r="B152" s="1" t="str">
        <f t="shared" si="25"/>
        <v>13.01.2020</v>
      </c>
      <c r="C152" s="1" t="str">
        <f t="shared" si="21"/>
        <v>Закрито</v>
      </c>
      <c r="D15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2" s="1" t="str">
        <f t="shared" ref="E152:E157" si="27">"Земельні питання"</f>
        <v>Земельні питання</v>
      </c>
      <c r="F152" s="1" t="str">
        <f t="shared" ref="F152:F157" si="28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2" s="1" t="str">
        <f>"3"</f>
        <v>3</v>
      </c>
      <c r="H152" s="1" t="str">
        <f>"Результат"</f>
        <v>Результат</v>
      </c>
      <c r="I152" s="1" t="str">
        <f t="shared" si="20"/>
        <v>Позитивний</v>
      </c>
      <c r="J152" s="1" t="str">
        <f t="shared" si="26"/>
        <v>Ні</v>
      </c>
    </row>
    <row r="153" spans="1:10" ht="135" x14ac:dyDescent="0.25">
      <c r="A153" s="1" t="str">
        <f>"172-2020/27"</f>
        <v>172-2020/27</v>
      </c>
      <c r="B153" s="1" t="str">
        <f t="shared" si="25"/>
        <v>13.01.2020</v>
      </c>
      <c r="C153" s="1" t="str">
        <f t="shared" si="21"/>
        <v>Закрито</v>
      </c>
      <c r="D15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3" s="1" t="str">
        <f t="shared" si="27"/>
        <v>Земельні питання</v>
      </c>
      <c r="F153" s="1" t="str">
        <f t="shared" si="2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3" s="1" t="str">
        <f>"3"</f>
        <v>3</v>
      </c>
      <c r="H153" s="1" t="str">
        <f>"Результат"</f>
        <v>Результат</v>
      </c>
      <c r="I153" s="1" t="str">
        <f t="shared" si="20"/>
        <v>Позитивний</v>
      </c>
      <c r="J153" s="1" t="str">
        <f t="shared" si="26"/>
        <v>Ні</v>
      </c>
    </row>
    <row r="154" spans="1:10" ht="135" x14ac:dyDescent="0.25">
      <c r="A154" s="1" t="str">
        <f>"154-2020/27"</f>
        <v>154-2020/27</v>
      </c>
      <c r="B154" s="1" t="str">
        <f t="shared" si="25"/>
        <v>13.01.2020</v>
      </c>
      <c r="C154" s="1" t="str">
        <f t="shared" si="21"/>
        <v>Закрито</v>
      </c>
      <c r="D154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54" s="1" t="str">
        <f t="shared" si="27"/>
        <v>Земельні питання</v>
      </c>
      <c r="F154" s="1" t="str">
        <f t="shared" si="2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4" s="1" t="str">
        <f>"14"</f>
        <v>14</v>
      </c>
      <c r="H154" s="1" t="str">
        <f>"Результат"</f>
        <v>Результат</v>
      </c>
      <c r="I154" s="1" t="str">
        <f t="shared" si="20"/>
        <v>Позитивний</v>
      </c>
      <c r="J154" s="1" t="str">
        <f t="shared" si="26"/>
        <v>Ні</v>
      </c>
    </row>
    <row r="155" spans="1:10" ht="135" x14ac:dyDescent="0.25">
      <c r="A155" s="1" t="str">
        <f>"153-2020/27"</f>
        <v>153-2020/27</v>
      </c>
      <c r="B155" s="1" t="str">
        <f t="shared" si="25"/>
        <v>13.01.2020</v>
      </c>
      <c r="C155" s="1" t="str">
        <f t="shared" si="21"/>
        <v>Закрито</v>
      </c>
      <c r="D15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55" s="1" t="str">
        <f t="shared" si="27"/>
        <v>Земельні питання</v>
      </c>
      <c r="F155" s="1" t="str">
        <f t="shared" si="2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5" s="1" t="str">
        <f>"14"</f>
        <v>14</v>
      </c>
      <c r="H155" s="1" t="str">
        <f>"Результат"</f>
        <v>Результат</v>
      </c>
      <c r="I155" s="1" t="str">
        <f t="shared" si="20"/>
        <v>Позитивний</v>
      </c>
      <c r="J155" s="1" t="str">
        <f t="shared" si="26"/>
        <v>Ні</v>
      </c>
    </row>
    <row r="156" spans="1:10" ht="135" x14ac:dyDescent="0.25">
      <c r="A156" s="1" t="str">
        <f>"166-2020/27"</f>
        <v>166-2020/27</v>
      </c>
      <c r="B156" s="1" t="str">
        <f t="shared" si="25"/>
        <v>13.01.2020</v>
      </c>
      <c r="C156" s="1" t="str">
        <f t="shared" si="21"/>
        <v>Закрито</v>
      </c>
      <c r="D1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6" s="1" t="str">
        <f t="shared" si="27"/>
        <v>Земельні питання</v>
      </c>
      <c r="F156" s="1" t="str">
        <f t="shared" si="2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6" s="1" t="str">
        <f>"3"</f>
        <v>3</v>
      </c>
      <c r="H156" s="1" t="str">
        <f>"Результат"</f>
        <v>Результат</v>
      </c>
      <c r="I156" s="1" t="str">
        <f t="shared" si="20"/>
        <v>Позитивний</v>
      </c>
      <c r="J156" s="1" t="str">
        <f t="shared" si="26"/>
        <v>Ні</v>
      </c>
    </row>
    <row r="157" spans="1:10" ht="135" x14ac:dyDescent="0.25">
      <c r="A157" s="1" t="str">
        <f>"169-2020/27"</f>
        <v>169-2020/27</v>
      </c>
      <c r="B157" s="1" t="str">
        <f t="shared" si="25"/>
        <v>13.01.2020</v>
      </c>
      <c r="C157" s="1" t="str">
        <f t="shared" si="21"/>
        <v>Закрито</v>
      </c>
      <c r="D1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7" s="1" t="str">
        <f t="shared" si="27"/>
        <v>Земельні питання</v>
      </c>
      <c r="F157" s="1" t="str">
        <f t="shared" si="2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7" s="1" t="str">
        <f>"3"</f>
        <v>3</v>
      </c>
      <c r="H157" s="1" t="str">
        <f>"Результат"</f>
        <v>Результат</v>
      </c>
      <c r="I157" s="1" t="str">
        <f t="shared" si="20"/>
        <v>Позитивний</v>
      </c>
      <c r="J157" s="1" t="str">
        <f t="shared" si="26"/>
        <v>Ні</v>
      </c>
    </row>
    <row r="158" spans="1:10" ht="45" x14ac:dyDescent="0.25">
      <c r="A158" s="1" t="str">
        <f>"148-2020/27"</f>
        <v>148-2020/27</v>
      </c>
      <c r="B158" s="1" t="str">
        <f t="shared" si="25"/>
        <v>13.01.2020</v>
      </c>
      <c r="C158" s="1" t="str">
        <f t="shared" si="21"/>
        <v>Закрито</v>
      </c>
      <c r="D158" s="1" t="str">
        <f>"Зняття з реєстрації місця проживання"</f>
        <v>Зняття з реєстрації місця проживання</v>
      </c>
      <c r="E158" s="1" t="str">
        <f>"Реєстрація місця проживання"</f>
        <v>Реєстрація місця проживання</v>
      </c>
      <c r="F158" s="1" t="str">
        <f>"Відділ реєстрації Новокаховської міської ради"</f>
        <v>Відділ реєстрації Новокаховської міської ради</v>
      </c>
      <c r="G158" s="1" t="str">
        <f>"1"</f>
        <v>1</v>
      </c>
      <c r="H158" s="1" t="str">
        <f>"Результат"</f>
        <v>Результат</v>
      </c>
      <c r="I158" s="1" t="str">
        <f t="shared" si="20"/>
        <v>Позитивний</v>
      </c>
      <c r="J158" s="1" t="str">
        <f>"Так"</f>
        <v>Так</v>
      </c>
    </row>
    <row r="159" spans="1:10" ht="45" x14ac:dyDescent="0.25">
      <c r="A159" s="1" t="str">
        <f>"160-2020/27"</f>
        <v>160-2020/27</v>
      </c>
      <c r="B159" s="1" t="str">
        <f t="shared" si="25"/>
        <v>13.01.2020</v>
      </c>
      <c r="C159" s="1" t="str">
        <f t="shared" si="21"/>
        <v>Закрито</v>
      </c>
      <c r="D159" s="1" t="str">
        <f>"Зняття з реєстрації місця проживання"</f>
        <v>Зняття з реєстрації місця проживання</v>
      </c>
      <c r="E159" s="1" t="str">
        <f>"Реєстрація місця проживання"</f>
        <v>Реєстрація місця проживання</v>
      </c>
      <c r="F159" s="1" t="str">
        <f>"Відділ реєстрації Новокаховської міської ради"</f>
        <v>Відділ реєстрації Новокаховської міської ради</v>
      </c>
      <c r="G159" s="1" t="str">
        <f>"1"</f>
        <v>1</v>
      </c>
      <c r="H159" s="1" t="str">
        <f>"Результат"</f>
        <v>Результат</v>
      </c>
      <c r="I159" s="1" t="str">
        <f t="shared" si="20"/>
        <v>Позитивний</v>
      </c>
      <c r="J159" s="1" t="str">
        <f>"Так"</f>
        <v>Так</v>
      </c>
    </row>
    <row r="160" spans="1:10" ht="135" x14ac:dyDescent="0.25">
      <c r="A160" s="1" t="str">
        <f>"144-2020/27"</f>
        <v>144-2020/27</v>
      </c>
      <c r="B160" s="1" t="str">
        <f t="shared" si="25"/>
        <v>13.01.2020</v>
      </c>
      <c r="C160" s="1" t="str">
        <f t="shared" si="21"/>
        <v>Закрито</v>
      </c>
      <c r="D16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60" s="1" t="str">
        <f>"Земельні питання"</f>
        <v>Земельні питання</v>
      </c>
      <c r="F1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0" s="1" t="str">
        <f>"14"</f>
        <v>14</v>
      </c>
      <c r="H160" s="1" t="str">
        <f>"Результат"</f>
        <v>Результат</v>
      </c>
      <c r="I160" s="1" t="str">
        <f t="shared" si="20"/>
        <v>Позитивний</v>
      </c>
      <c r="J160" s="1" t="str">
        <f>"Ні"</f>
        <v>Ні</v>
      </c>
    </row>
    <row r="161" spans="1:10" ht="45" x14ac:dyDescent="0.25">
      <c r="A161" s="1" t="str">
        <f>"158-2020/27"</f>
        <v>158-2020/27</v>
      </c>
      <c r="B161" s="1" t="str">
        <f t="shared" si="25"/>
        <v>13.01.2020</v>
      </c>
      <c r="C161" s="1" t="str">
        <f t="shared" si="21"/>
        <v>Закрито</v>
      </c>
      <c r="D161" s="1" t="str">
        <f>"Зняття з реєстрації місця проживання"</f>
        <v>Зняття з реєстрації місця проживання</v>
      </c>
      <c r="E161" s="1" t="str">
        <f>"Реєстрація місця проживання"</f>
        <v>Реєстрація місця проживання</v>
      </c>
      <c r="F161" s="1" t="str">
        <f>"Відділ реєстрації Новокаховської міської ради"</f>
        <v>Відділ реєстрації Новокаховської міської ради</v>
      </c>
      <c r="G161" s="1" t="str">
        <f>"1"</f>
        <v>1</v>
      </c>
      <c r="H161" s="1" t="str">
        <f>"Результат"</f>
        <v>Результат</v>
      </c>
      <c r="I161" s="1" t="str">
        <f t="shared" si="20"/>
        <v>Позитивний</v>
      </c>
      <c r="J161" s="1" t="str">
        <f>"Так"</f>
        <v>Так</v>
      </c>
    </row>
    <row r="162" spans="1:10" ht="45" x14ac:dyDescent="0.25">
      <c r="A162" s="1" t="str">
        <f>"147-2020/27"</f>
        <v>147-2020/27</v>
      </c>
      <c r="B162" s="1" t="str">
        <f t="shared" si="25"/>
        <v>13.01.2020</v>
      </c>
      <c r="C162" s="1" t="str">
        <f t="shared" si="21"/>
        <v>Закрито</v>
      </c>
      <c r="D162" s="1" t="str">
        <f>"Зняття з реєстрації місця проживання"</f>
        <v>Зняття з реєстрації місця проживання</v>
      </c>
      <c r="E162" s="1" t="str">
        <f>"Реєстрація місця проживання"</f>
        <v>Реєстрація місця проживання</v>
      </c>
      <c r="F162" s="1" t="str">
        <f>"Відділ реєстрації Новокаховської міської ради"</f>
        <v>Відділ реєстрації Новокаховської міської ради</v>
      </c>
      <c r="G162" s="1" t="str">
        <f>"1"</f>
        <v>1</v>
      </c>
      <c r="H162" s="1" t="str">
        <f>"Результат"</f>
        <v>Результат</v>
      </c>
      <c r="I162" s="1" t="str">
        <f t="shared" si="20"/>
        <v>Позитивний</v>
      </c>
      <c r="J162" s="1" t="str">
        <f>"Так"</f>
        <v>Так</v>
      </c>
    </row>
    <row r="163" spans="1:10" ht="45" x14ac:dyDescent="0.25">
      <c r="A163" s="1" t="str">
        <f>"165-2020/27"</f>
        <v>165-2020/27</v>
      </c>
      <c r="B163" s="1" t="str">
        <f t="shared" si="25"/>
        <v>13.01.2020</v>
      </c>
      <c r="C163" s="1" t="str">
        <f t="shared" si="21"/>
        <v>Закрито</v>
      </c>
      <c r="D163" s="1" t="str">
        <f>"Реєстрація місця проживання особи"</f>
        <v>Реєстрація місця проживання особи</v>
      </c>
      <c r="E163" s="1" t="str">
        <f>"Реєстрація місця проживання"</f>
        <v>Реєстрація місця проживання</v>
      </c>
      <c r="F163" s="1" t="str">
        <f>"Відділ реєстрації Новокаховської міської ради"</f>
        <v>Відділ реєстрації Новокаховської міської ради</v>
      </c>
      <c r="G163" s="1" t="str">
        <f>"1"</f>
        <v>1</v>
      </c>
      <c r="H163" s="1" t="str">
        <f>"Результат"</f>
        <v>Результат</v>
      </c>
      <c r="I163" s="1" t="str">
        <f>"Мотивована відмова"</f>
        <v>Мотивована відмова</v>
      </c>
      <c r="J163" s="1" t="str">
        <f>"Так"</f>
        <v>Так</v>
      </c>
    </row>
    <row r="164" spans="1:10" ht="45" x14ac:dyDescent="0.25">
      <c r="A164" s="1" t="str">
        <f>"155-2020/27"</f>
        <v>155-2020/27</v>
      </c>
      <c r="B164" s="1" t="str">
        <f t="shared" si="25"/>
        <v>13.01.2020</v>
      </c>
      <c r="C164" s="1" t="str">
        <f t="shared" si="21"/>
        <v>Закрито</v>
      </c>
      <c r="D164" s="1" t="str">
        <f>"Реєстрація місця проживання особи"</f>
        <v>Реєстрація місця проживання особи</v>
      </c>
      <c r="E164" s="1" t="str">
        <f>"Реєстрація місця проживання"</f>
        <v>Реєстрація місця проживання</v>
      </c>
      <c r="F164" s="1" t="str">
        <f>"Відділ реєстрації Новокаховської міської ради"</f>
        <v>Відділ реєстрації Новокаховської міської ради</v>
      </c>
      <c r="G164" s="1" t="str">
        <f>"1"</f>
        <v>1</v>
      </c>
      <c r="H164" s="1" t="str">
        <f>"Результат"</f>
        <v>Результат</v>
      </c>
      <c r="I164" s="1" t="str">
        <f>"Позитивний"</f>
        <v>Позитивний</v>
      </c>
      <c r="J164" s="1" t="str">
        <f>"Так"</f>
        <v>Так</v>
      </c>
    </row>
    <row r="165" spans="1:10" ht="135" x14ac:dyDescent="0.25">
      <c r="A165" s="1" t="str">
        <f>"178-2020/27"</f>
        <v>178-2020/27</v>
      </c>
      <c r="B165" s="1" t="str">
        <f t="shared" si="25"/>
        <v>13.01.2020</v>
      </c>
      <c r="C165" s="1" t="str">
        <f t="shared" si="21"/>
        <v>Закрито</v>
      </c>
      <c r="D165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65" s="1" t="str">
        <f>"Земельні питання"</f>
        <v>Земельні питання</v>
      </c>
      <c r="F1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5" s="1" t="str">
        <f>"14"</f>
        <v>14</v>
      </c>
      <c r="H165" s="1" t="str">
        <f>"Результат"</f>
        <v>Результат</v>
      </c>
      <c r="I165" s="1" t="str">
        <f>"Позитивний"</f>
        <v>Позитивний</v>
      </c>
      <c r="J165" s="1" t="str">
        <f>"Ні"</f>
        <v>Ні</v>
      </c>
    </row>
    <row r="166" spans="1:10" ht="45" x14ac:dyDescent="0.25">
      <c r="A166" s="1" t="str">
        <f>"150-2020/27"</f>
        <v>150-2020/27</v>
      </c>
      <c r="B166" s="1" t="str">
        <f t="shared" si="25"/>
        <v>13.01.2020</v>
      </c>
      <c r="C166" s="1" t="str">
        <f t="shared" si="21"/>
        <v>Закрито</v>
      </c>
      <c r="D166" s="1" t="str">
        <f>"Зняття з реєстрації місця проживання"</f>
        <v>Зняття з реєстрації місця проживання</v>
      </c>
      <c r="E166" s="1" t="str">
        <f>"Реєстрація місця проживання"</f>
        <v>Реєстрація місця проживання</v>
      </c>
      <c r="F166" s="1" t="str">
        <f>"Відділ реєстрації Новокаховської міської ради"</f>
        <v>Відділ реєстрації Новокаховської міської ради</v>
      </c>
      <c r="G166" s="1" t="str">
        <f>"1"</f>
        <v>1</v>
      </c>
      <c r="H166" s="1" t="str">
        <f>"Результат"</f>
        <v>Результат</v>
      </c>
      <c r="I166" s="1" t="str">
        <f>"Позитивний"</f>
        <v>Позитивний</v>
      </c>
      <c r="J166" s="1" t="str">
        <f>"Так"</f>
        <v>Так</v>
      </c>
    </row>
    <row r="167" spans="1:10" ht="45" x14ac:dyDescent="0.25">
      <c r="A167" s="1" t="str">
        <f>"149-2020/27"</f>
        <v>149-2020/27</v>
      </c>
      <c r="B167" s="1" t="str">
        <f t="shared" si="25"/>
        <v>13.01.2020</v>
      </c>
      <c r="C167" s="1" t="str">
        <f t="shared" si="21"/>
        <v>Закрито</v>
      </c>
      <c r="D167" s="1" t="str">
        <f>"Зняття з реєстрації місця проживання"</f>
        <v>Зняття з реєстрації місця проживання</v>
      </c>
      <c r="E167" s="1" t="str">
        <f>"Реєстрація місця проживання"</f>
        <v>Реєстрація місця проживання</v>
      </c>
      <c r="F167" s="1" t="str">
        <f>"Відділ реєстрації Новокаховської міської ради"</f>
        <v>Відділ реєстрації Новокаховської міської ради</v>
      </c>
      <c r="G167" s="1" t="str">
        <f>"1"</f>
        <v>1</v>
      </c>
      <c r="H167" s="1" t="str">
        <f>"Результат"</f>
        <v>Результат</v>
      </c>
      <c r="I167" s="1" t="str">
        <f>"Позитивний"</f>
        <v>Позитивний</v>
      </c>
      <c r="J167" s="1" t="str">
        <f>"Так"</f>
        <v>Так</v>
      </c>
    </row>
    <row r="168" spans="1:10" ht="45" x14ac:dyDescent="0.25">
      <c r="A168" s="1" t="str">
        <f>"164-2020/27"</f>
        <v>164-2020/27</v>
      </c>
      <c r="B168" s="1" t="str">
        <f t="shared" si="25"/>
        <v>13.01.2020</v>
      </c>
      <c r="C168" s="1" t="str">
        <f t="shared" si="21"/>
        <v>Закрито</v>
      </c>
      <c r="D168" s="1" t="str">
        <f>"Реєстрація місця проживання особи"</f>
        <v>Реєстрація місця проживання особи</v>
      </c>
      <c r="E168" s="1" t="str">
        <f>"Реєстрація місця проживання"</f>
        <v>Реєстрація місця проживання</v>
      </c>
      <c r="F168" s="1" t="str">
        <f>"Відділ реєстрації Новокаховської міської ради"</f>
        <v>Відділ реєстрації Новокаховської міської ради</v>
      </c>
      <c r="G168" s="1" t="str">
        <f>"1"</f>
        <v>1</v>
      </c>
      <c r="H168" s="1" t="str">
        <f>"Результат"</f>
        <v>Результат</v>
      </c>
      <c r="I168" s="1" t="str">
        <f>"Мотивована відмова"</f>
        <v>Мотивована відмова</v>
      </c>
      <c r="J168" s="1" t="str">
        <f>"Так"</f>
        <v>Так</v>
      </c>
    </row>
    <row r="169" spans="1:10" ht="45" x14ac:dyDescent="0.25">
      <c r="A169" s="1" t="str">
        <f>"152-2020/27"</f>
        <v>152-2020/27</v>
      </c>
      <c r="B169" s="1" t="str">
        <f t="shared" si="25"/>
        <v>13.01.2020</v>
      </c>
      <c r="C169" s="1" t="str">
        <f t="shared" si="21"/>
        <v>Закрито</v>
      </c>
      <c r="D169" s="1" t="str">
        <f>"Зняття з реєстрації місця проживання"</f>
        <v>Зняття з реєстрації місця проживання</v>
      </c>
      <c r="E169" s="1" t="str">
        <f>"Реєстрація місця проживання"</f>
        <v>Реєстрація місця проживання</v>
      </c>
      <c r="F169" s="1" t="str">
        <f>"Відділ реєстрації Новокаховської міської ради"</f>
        <v>Відділ реєстрації Новокаховської міської ради</v>
      </c>
      <c r="G169" s="1" t="str">
        <f>"1"</f>
        <v>1</v>
      </c>
      <c r="H169" s="1" t="str">
        <f>"Результат"</f>
        <v>Результат</v>
      </c>
      <c r="I169" s="1" t="str">
        <f>"Позитивний"</f>
        <v>Позитивний</v>
      </c>
      <c r="J169" s="1" t="str">
        <f>"Так"</f>
        <v>Так</v>
      </c>
    </row>
    <row r="170" spans="1:10" ht="45" x14ac:dyDescent="0.25">
      <c r="A170" s="1" t="str">
        <f>"146-2020/27"</f>
        <v>146-2020/27</v>
      </c>
      <c r="B170" s="1" t="str">
        <f t="shared" si="25"/>
        <v>13.01.2020</v>
      </c>
      <c r="C170" s="1" t="str">
        <f t="shared" si="21"/>
        <v>Закрито</v>
      </c>
      <c r="D170" s="1" t="str">
        <f>"Реєстрація місця проживання особи"</f>
        <v>Реєстрація місця проживання особи</v>
      </c>
      <c r="E170" s="1" t="str">
        <f>"Реєстрація місця проживання"</f>
        <v>Реєстрація місця проживання</v>
      </c>
      <c r="F170" s="1" t="str">
        <f>"Відділ реєстрації Новокаховської міської ради"</f>
        <v>Відділ реєстрації Новокаховської міської ради</v>
      </c>
      <c r="G170" s="1" t="str">
        <f>"1"</f>
        <v>1</v>
      </c>
      <c r="H170" s="1" t="str">
        <f>"Результат"</f>
        <v>Результат</v>
      </c>
      <c r="I170" s="1" t="str">
        <f>"Мотивована відмова"</f>
        <v>Мотивована відмова</v>
      </c>
      <c r="J170" s="1" t="str">
        <f>"Так"</f>
        <v>Так</v>
      </c>
    </row>
    <row r="171" spans="1:10" ht="135" x14ac:dyDescent="0.25">
      <c r="A171" s="1" t="str">
        <f>"157-2020/27"</f>
        <v>157-2020/27</v>
      </c>
      <c r="B171" s="1" t="str">
        <f t="shared" si="25"/>
        <v>13.01.2020</v>
      </c>
      <c r="C171" s="1" t="str">
        <f t="shared" si="21"/>
        <v>Закрито</v>
      </c>
      <c r="D17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1" s="1" t="str">
        <f>"Земельні питання"</f>
        <v>Земельні питання</v>
      </c>
      <c r="F1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" s="1" t="str">
        <f>"3"</f>
        <v>3</v>
      </c>
      <c r="H171" s="1" t="str">
        <f>"Результат"</f>
        <v>Результат</v>
      </c>
      <c r="I171" s="1" t="str">
        <f>"Позитивний"</f>
        <v>Позитивний</v>
      </c>
      <c r="J171" s="1" t="str">
        <f>"Ні"</f>
        <v>Ні</v>
      </c>
    </row>
    <row r="172" spans="1:10" ht="135" x14ac:dyDescent="0.25">
      <c r="A172" s="1" t="str">
        <f>"167-2020/27"</f>
        <v>167-2020/27</v>
      </c>
      <c r="B172" s="1" t="str">
        <f t="shared" si="25"/>
        <v>13.01.2020</v>
      </c>
      <c r="C172" s="1" t="str">
        <f t="shared" si="21"/>
        <v>Закрито</v>
      </c>
      <c r="D17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2" s="1" t="str">
        <f>"Земельні питання"</f>
        <v>Земельні питання</v>
      </c>
      <c r="F1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2" s="1" t="str">
        <f>"3"</f>
        <v>3</v>
      </c>
      <c r="H172" s="1" t="str">
        <f>"Результат"</f>
        <v>Результат</v>
      </c>
      <c r="I172" s="1" t="str">
        <f>"Позитивний"</f>
        <v>Позитивний</v>
      </c>
      <c r="J172" s="1" t="str">
        <f>"Ні"</f>
        <v>Ні</v>
      </c>
    </row>
    <row r="173" spans="1:10" ht="90" x14ac:dyDescent="0.25">
      <c r="A173" s="1" t="str">
        <f>"175-2020/27"</f>
        <v>175-2020/27</v>
      </c>
      <c r="B173" s="1" t="str">
        <f t="shared" si="25"/>
        <v>13.01.2020</v>
      </c>
      <c r="C173" s="1" t="str">
        <f t="shared" si="21"/>
        <v>Закрито</v>
      </c>
      <c r="D17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3" s="1" t="str">
        <f>"Інші послуги"</f>
        <v>Інші послуги</v>
      </c>
      <c r="F17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3" s="1" t="str">
        <f>"5"</f>
        <v>5</v>
      </c>
      <c r="H173" s="1" t="str">
        <f>"Результат"</f>
        <v>Результат</v>
      </c>
      <c r="I173" s="1" t="str">
        <f>"Позитивний"</f>
        <v>Позитивний</v>
      </c>
      <c r="J173" s="1" t="str">
        <f>"Ні"</f>
        <v>Ні</v>
      </c>
    </row>
    <row r="174" spans="1:10" ht="135" x14ac:dyDescent="0.25">
      <c r="A174" s="1" t="str">
        <f>"162-2020/27"</f>
        <v>162-2020/27</v>
      </c>
      <c r="B174" s="1" t="str">
        <f t="shared" si="25"/>
        <v>13.01.2020</v>
      </c>
      <c r="C174" s="1" t="str">
        <f t="shared" si="21"/>
        <v>Закрито</v>
      </c>
      <c r="D17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4" s="1" t="str">
        <f>"Земельні питання"</f>
        <v>Земельні питання</v>
      </c>
      <c r="F1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4" s="1" t="str">
        <f>"3"</f>
        <v>3</v>
      </c>
      <c r="H174" s="1" t="str">
        <f>"Результат"</f>
        <v>Результат</v>
      </c>
      <c r="I174" s="1" t="str">
        <f>"Позитивний"</f>
        <v>Позитивний</v>
      </c>
      <c r="J174" s="1" t="str">
        <f>"Ні"</f>
        <v>Ні</v>
      </c>
    </row>
    <row r="175" spans="1:10" ht="45" x14ac:dyDescent="0.25">
      <c r="A175" s="1" t="str">
        <f>"163-2020/27"</f>
        <v>163-2020/27</v>
      </c>
      <c r="B175" s="1" t="str">
        <f t="shared" si="25"/>
        <v>13.01.2020</v>
      </c>
      <c r="C175" s="1" t="str">
        <f t="shared" si="21"/>
        <v>Закрито</v>
      </c>
      <c r="D175" s="1" t="str">
        <f>"Реєстрація місця проживання особи"</f>
        <v>Реєстрація місця проживання особи</v>
      </c>
      <c r="E175" s="1" t="str">
        <f>"Реєстрація місця проживання"</f>
        <v>Реєстрація місця проживання</v>
      </c>
      <c r="F175" s="1" t="str">
        <f>"Відділ реєстрації Новокаховської міської ради"</f>
        <v>Відділ реєстрації Новокаховської міської ради</v>
      </c>
      <c r="G175" s="1" t="str">
        <f>"1"</f>
        <v>1</v>
      </c>
      <c r="H175" s="1" t="str">
        <f>"Результат"</f>
        <v>Результат</v>
      </c>
      <c r="I175" s="1" t="str">
        <f>"Мотивована відмова"</f>
        <v>Мотивована відмова</v>
      </c>
      <c r="J175" s="1" t="str">
        <f>"Так"</f>
        <v>Так</v>
      </c>
    </row>
    <row r="176" spans="1:10" ht="135" x14ac:dyDescent="0.25">
      <c r="A176" s="1" t="str">
        <f>"180-2020/27"</f>
        <v>180-2020/27</v>
      </c>
      <c r="B176" s="1" t="str">
        <f t="shared" si="25"/>
        <v>13.01.2020</v>
      </c>
      <c r="C176" s="1" t="str">
        <f t="shared" si="21"/>
        <v>Закрито</v>
      </c>
      <c r="D17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6" s="1" t="str">
        <f>"Земельні питання"</f>
        <v>Земельні питання</v>
      </c>
      <c r="F1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" s="1" t="str">
        <f>"3"</f>
        <v>3</v>
      </c>
      <c r="H176" s="1" t="str">
        <f>"Результат"</f>
        <v>Результат</v>
      </c>
      <c r="I176" s="1" t="str">
        <f t="shared" ref="I176:I185" si="29">"Позитивний"</f>
        <v>Позитивний</v>
      </c>
      <c r="J176" s="1" t="str">
        <f>"Ні"</f>
        <v>Ні</v>
      </c>
    </row>
    <row r="177" spans="1:10" ht="45" x14ac:dyDescent="0.25">
      <c r="A177" s="1" t="str">
        <f>"176-2020/27"</f>
        <v>176-2020/27</v>
      </c>
      <c r="B177" s="1" t="str">
        <f t="shared" si="25"/>
        <v>13.01.2020</v>
      </c>
      <c r="C177" s="1" t="str">
        <f t="shared" si="21"/>
        <v>Закрито</v>
      </c>
      <c r="D177" s="1" t="str">
        <f>"Реєстрація місця проживання особи"</f>
        <v>Реєстрація місця проживання особи</v>
      </c>
      <c r="E177" s="1" t="str">
        <f>"Реєстрація місця проживання"</f>
        <v>Реєстрація місця проживання</v>
      </c>
      <c r="F177" s="1" t="str">
        <f>"Відділ реєстрації Новокаховської міської ради"</f>
        <v>Відділ реєстрації Новокаховської міської ради</v>
      </c>
      <c r="G177" s="1" t="str">
        <f>"1"</f>
        <v>1</v>
      </c>
      <c r="H177" s="1" t="str">
        <f>"Результат"</f>
        <v>Результат</v>
      </c>
      <c r="I177" s="1" t="str">
        <f t="shared" si="29"/>
        <v>Позитивний</v>
      </c>
      <c r="J177" s="1" t="str">
        <f>"Так"</f>
        <v>Так</v>
      </c>
    </row>
    <row r="178" spans="1:10" ht="135" x14ac:dyDescent="0.25">
      <c r="A178" s="1" t="str">
        <f>"168-2020/27"</f>
        <v>168-2020/27</v>
      </c>
      <c r="B178" s="1" t="str">
        <f t="shared" si="25"/>
        <v>13.01.2020</v>
      </c>
      <c r="C178" s="1" t="str">
        <f t="shared" si="21"/>
        <v>Закрито</v>
      </c>
      <c r="D17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8" s="1" t="str">
        <f>"Земельні питання"</f>
        <v>Земельні питання</v>
      </c>
      <c r="F1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8" s="1" t="str">
        <f>"3"</f>
        <v>3</v>
      </c>
      <c r="H178" s="1" t="str">
        <f>"Результат"</f>
        <v>Результат</v>
      </c>
      <c r="I178" s="1" t="str">
        <f t="shared" si="29"/>
        <v>Позитивний</v>
      </c>
      <c r="J178" s="1" t="str">
        <f>"Ні"</f>
        <v>Ні</v>
      </c>
    </row>
    <row r="179" spans="1:10" ht="90" x14ac:dyDescent="0.25">
      <c r="A179" s="1" t="str">
        <f>"156-2020/27"</f>
        <v>156-2020/27</v>
      </c>
      <c r="B179" s="1" t="str">
        <f t="shared" si="25"/>
        <v>13.01.2020</v>
      </c>
      <c r="C179" s="1" t="str">
        <f t="shared" si="21"/>
        <v>Закрито</v>
      </c>
      <c r="D17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9" s="1" t="str">
        <f>"Інші послуги"</f>
        <v>Інші послуги</v>
      </c>
      <c r="F17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9" s="1" t="str">
        <f>"5"</f>
        <v>5</v>
      </c>
      <c r="H179" s="1" t="str">
        <f>"Результат"</f>
        <v>Результат</v>
      </c>
      <c r="I179" s="1" t="str">
        <f t="shared" si="29"/>
        <v>Позитивний</v>
      </c>
      <c r="J179" s="1" t="str">
        <f>"Ні"</f>
        <v>Ні</v>
      </c>
    </row>
    <row r="180" spans="1:10" ht="45" x14ac:dyDescent="0.25">
      <c r="A180" s="1" t="str">
        <f>"151-2020/27"</f>
        <v>151-2020/27</v>
      </c>
      <c r="B180" s="1" t="str">
        <f t="shared" si="25"/>
        <v>13.01.2020</v>
      </c>
      <c r="C180" s="1" t="str">
        <f t="shared" si="21"/>
        <v>Закрито</v>
      </c>
      <c r="D180" s="1" t="str">
        <f>"Реєстрація місця проживання особи"</f>
        <v>Реєстрація місця проживання особи</v>
      </c>
      <c r="E180" s="1" t="str">
        <f>"Реєстрація місця проживання"</f>
        <v>Реєстрація місця проживання</v>
      </c>
      <c r="F180" s="1" t="str">
        <f>"Відділ реєстрації Новокаховської міської ради"</f>
        <v>Відділ реєстрації Новокаховської міської ради</v>
      </c>
      <c r="G180" s="1" t="str">
        <f>"1"</f>
        <v>1</v>
      </c>
      <c r="H180" s="1" t="str">
        <f>"Результат"</f>
        <v>Результат</v>
      </c>
      <c r="I180" s="1" t="str">
        <f t="shared" si="29"/>
        <v>Позитивний</v>
      </c>
      <c r="J180" s="1" t="str">
        <f>"Так"</f>
        <v>Так</v>
      </c>
    </row>
    <row r="181" spans="1:10" ht="45" x14ac:dyDescent="0.25">
      <c r="A181" s="1" t="str">
        <f>"173-2020/27"</f>
        <v>173-2020/27</v>
      </c>
      <c r="B181" s="1" t="str">
        <f t="shared" si="25"/>
        <v>13.01.2020</v>
      </c>
      <c r="C181" s="1" t="str">
        <f t="shared" si="21"/>
        <v>Закрито</v>
      </c>
      <c r="D181" s="1" t="str">
        <f>"Реєстрація місця проживання особи"</f>
        <v>Реєстрація місця проживання особи</v>
      </c>
      <c r="E181" s="1" t="str">
        <f>"Реєстрація місця проживання"</f>
        <v>Реєстрація місця проживання</v>
      </c>
      <c r="F181" s="1" t="str">
        <f>"Відділ реєстрації Новокаховської міської ради"</f>
        <v>Відділ реєстрації Новокаховської міської ради</v>
      </c>
      <c r="G181" s="1" t="str">
        <f>"1"</f>
        <v>1</v>
      </c>
      <c r="H181" s="1" t="str">
        <f>"Результат"</f>
        <v>Результат</v>
      </c>
      <c r="I181" s="1" t="str">
        <f t="shared" si="29"/>
        <v>Позитивний</v>
      </c>
      <c r="J181" s="1" t="str">
        <f>"Так"</f>
        <v>Так</v>
      </c>
    </row>
    <row r="182" spans="1:10" ht="135" x14ac:dyDescent="0.25">
      <c r="A182" s="1" t="str">
        <f>"170-2020/27"</f>
        <v>170-2020/27</v>
      </c>
      <c r="B182" s="1" t="str">
        <f t="shared" si="25"/>
        <v>13.01.2020</v>
      </c>
      <c r="C182" s="1" t="str">
        <f t="shared" si="21"/>
        <v>Закрито</v>
      </c>
      <c r="D18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2" s="1" t="str">
        <f>"Земельні питання"</f>
        <v>Земельні питання</v>
      </c>
      <c r="F1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2" s="1" t="str">
        <f>"3"</f>
        <v>3</v>
      </c>
      <c r="H182" s="1" t="str">
        <f>"Результат"</f>
        <v>Результат</v>
      </c>
      <c r="I182" s="1" t="str">
        <f t="shared" si="29"/>
        <v>Позитивний</v>
      </c>
      <c r="J182" s="1" t="str">
        <f>"Ні"</f>
        <v>Ні</v>
      </c>
    </row>
    <row r="183" spans="1:10" ht="135" x14ac:dyDescent="0.25">
      <c r="A183" s="1" t="str">
        <f>"171-2020/27"</f>
        <v>171-2020/27</v>
      </c>
      <c r="B183" s="1" t="str">
        <f t="shared" si="25"/>
        <v>13.01.2020</v>
      </c>
      <c r="C183" s="1" t="str">
        <f t="shared" si="21"/>
        <v>Закрито</v>
      </c>
      <c r="D18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3" s="1" t="str">
        <f>"Земельні питання"</f>
        <v>Земельні питання</v>
      </c>
      <c r="F1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3" s="1" t="str">
        <f>"3"</f>
        <v>3</v>
      </c>
      <c r="H183" s="1" t="str">
        <f>"Результат"</f>
        <v>Результат</v>
      </c>
      <c r="I183" s="1" t="str">
        <f t="shared" si="29"/>
        <v>Позитивний</v>
      </c>
      <c r="J183" s="1" t="str">
        <f>"Ні"</f>
        <v>Ні</v>
      </c>
    </row>
    <row r="184" spans="1:10" ht="45" x14ac:dyDescent="0.25">
      <c r="A184" s="1" t="str">
        <f>"174-2020/27"</f>
        <v>174-2020/27</v>
      </c>
      <c r="B184" s="1" t="str">
        <f t="shared" si="25"/>
        <v>13.01.2020</v>
      </c>
      <c r="C184" s="1" t="str">
        <f t="shared" si="21"/>
        <v>Закрито</v>
      </c>
      <c r="D184" s="1" t="str">
        <f>"Зняття з реєстрації місця проживання"</f>
        <v>Зняття з реєстрації місця проживання</v>
      </c>
      <c r="E184" s="1" t="str">
        <f>"Реєстрація місця проживання"</f>
        <v>Реєстрація місця проживання</v>
      </c>
      <c r="F184" s="1" t="str">
        <f>"Відділ реєстрації Новокаховської міської ради"</f>
        <v>Відділ реєстрації Новокаховської міської ради</v>
      </c>
      <c r="G184" s="1" t="str">
        <f>"1"</f>
        <v>1</v>
      </c>
      <c r="H184" s="1" t="str">
        <f>"Результат"</f>
        <v>Результат</v>
      </c>
      <c r="I184" s="1" t="str">
        <f t="shared" si="29"/>
        <v>Позитивний</v>
      </c>
      <c r="J184" s="1" t="str">
        <f>"Ні"</f>
        <v>Ні</v>
      </c>
    </row>
    <row r="185" spans="1:10" ht="45" x14ac:dyDescent="0.25">
      <c r="A185" s="1" t="str">
        <f>"177-2020/27"</f>
        <v>177-2020/27</v>
      </c>
      <c r="B185" s="1" t="str">
        <f t="shared" si="25"/>
        <v>13.01.2020</v>
      </c>
      <c r="C185" s="1" t="str">
        <f t="shared" si="21"/>
        <v>Закрито</v>
      </c>
      <c r="D185" s="1" t="str">
        <f>"Реєстрація місця проживання особи"</f>
        <v>Реєстрація місця проживання особи</v>
      </c>
      <c r="E185" s="1" t="str">
        <f>"Реєстрація місця проживання"</f>
        <v>Реєстрація місця проживання</v>
      </c>
      <c r="F185" s="1" t="str">
        <f>"Відділ реєстрації Новокаховської міської ради"</f>
        <v>Відділ реєстрації Новокаховської міської ради</v>
      </c>
      <c r="G185" s="1" t="str">
        <f>"1"</f>
        <v>1</v>
      </c>
      <c r="H185" s="1" t="str">
        <f>"Результат"</f>
        <v>Результат</v>
      </c>
      <c r="I185" s="1" t="str">
        <f t="shared" si="29"/>
        <v>Позитивний</v>
      </c>
      <c r="J185" s="1" t="str">
        <f>"Так"</f>
        <v>Так</v>
      </c>
    </row>
    <row r="186" spans="1:10" ht="45" x14ac:dyDescent="0.25">
      <c r="A186" s="1" t="str">
        <f>"145-2020/27"</f>
        <v>145-2020/27</v>
      </c>
      <c r="B186" s="1" t="str">
        <f t="shared" si="25"/>
        <v>13.01.2020</v>
      </c>
      <c r="C186" s="1" t="str">
        <f t="shared" si="21"/>
        <v>Закрито</v>
      </c>
      <c r="D186" s="1" t="str">
        <f>"Реєстрація місця проживання особи"</f>
        <v>Реєстрація місця проживання особи</v>
      </c>
      <c r="E186" s="1" t="str">
        <f>"Реєстрація місця проживання"</f>
        <v>Реєстрація місця проживання</v>
      </c>
      <c r="F186" s="1" t="str">
        <f>"Відділ реєстрації Новокаховської міської ради"</f>
        <v>Відділ реєстрації Новокаховської міської ради</v>
      </c>
      <c r="G186" s="1" t="str">
        <f>"1"</f>
        <v>1</v>
      </c>
      <c r="H186" s="1" t="str">
        <f>"Результат"</f>
        <v>Результат</v>
      </c>
      <c r="I186" s="1" t="str">
        <f>"Мотивована відмова"</f>
        <v>Мотивована відмова</v>
      </c>
      <c r="J186" s="1" t="str">
        <f>"Так"</f>
        <v>Так</v>
      </c>
    </row>
    <row r="187" spans="1:10" ht="105" x14ac:dyDescent="0.25">
      <c r="A187" s="1" t="str">
        <f>"208-2020/27"</f>
        <v>208-2020/27</v>
      </c>
      <c r="B187" s="1" t="str">
        <f t="shared" ref="B187:B219" si="30">"14.01.2020"</f>
        <v>14.01.2020</v>
      </c>
      <c r="C187" s="1" t="str">
        <f t="shared" si="21"/>
        <v>Закрито</v>
      </c>
      <c r="D1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7" s="1" t="str">
        <f>"Земельні питання"</f>
        <v>Земельні питання</v>
      </c>
      <c r="F18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7" s="1" t="str">
        <f>"1"</f>
        <v>1</v>
      </c>
      <c r="H187" s="1" t="str">
        <f>"Результат"</f>
        <v>Результат</v>
      </c>
      <c r="I187" s="1" t="str">
        <f t="shared" ref="I187:I199" si="31">"Позитивний"</f>
        <v>Позитивний</v>
      </c>
      <c r="J187" s="1" t="str">
        <f>"Так"</f>
        <v>Так</v>
      </c>
    </row>
    <row r="188" spans="1:10" ht="105" x14ac:dyDescent="0.25">
      <c r="A188" s="1" t="str">
        <f>"188-2020/27"</f>
        <v>188-2020/27</v>
      </c>
      <c r="B188" s="1" t="str">
        <f t="shared" si="30"/>
        <v>14.01.2020</v>
      </c>
      <c r="C188" s="1" t="str">
        <f t="shared" si="21"/>
        <v>Закрито</v>
      </c>
      <c r="D18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8" s="1" t="str">
        <f>"Земельні питання"</f>
        <v>Земельні питання</v>
      </c>
      <c r="F18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8" s="1" t="str">
        <f>"1"</f>
        <v>1</v>
      </c>
      <c r="H188" s="1" t="str">
        <f>"Результат"</f>
        <v>Результат</v>
      </c>
      <c r="I188" s="1" t="str">
        <f t="shared" si="31"/>
        <v>Позитивний</v>
      </c>
      <c r="J188" s="1" t="str">
        <f>"Ні"</f>
        <v>Ні</v>
      </c>
    </row>
    <row r="189" spans="1:10" ht="135" x14ac:dyDescent="0.25">
      <c r="A189" s="1" t="str">
        <f>"205-2020/27"</f>
        <v>205-2020/27</v>
      </c>
      <c r="B189" s="1" t="str">
        <f t="shared" si="30"/>
        <v>14.01.2020</v>
      </c>
      <c r="C189" s="1" t="str">
        <f t="shared" si="21"/>
        <v>Закрито</v>
      </c>
      <c r="D18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9" s="1" t="str">
        <f>"Земельні питання"</f>
        <v>Земельні питання</v>
      </c>
      <c r="F1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9" s="1" t="str">
        <f>"14"</f>
        <v>14</v>
      </c>
      <c r="H189" s="1" t="str">
        <f>"Результат"</f>
        <v>Результат</v>
      </c>
      <c r="I189" s="1" t="str">
        <f t="shared" si="31"/>
        <v>Позитивний</v>
      </c>
      <c r="J189" s="1" t="str">
        <f>"Ні"</f>
        <v>Ні</v>
      </c>
    </row>
    <row r="190" spans="1:10" ht="90" x14ac:dyDescent="0.25">
      <c r="A190" s="1" t="str">
        <f>"198-2020/27"</f>
        <v>198-2020/27</v>
      </c>
      <c r="B190" s="1" t="str">
        <f t="shared" si="30"/>
        <v>14.01.2020</v>
      </c>
      <c r="C190" s="1" t="str">
        <f t="shared" si="21"/>
        <v>Закрито</v>
      </c>
      <c r="D19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0" s="1" t="str">
        <f>"Інші послуги"</f>
        <v>Інші послуги</v>
      </c>
      <c r="F19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0" s="1" t="str">
        <f>"5"</f>
        <v>5</v>
      </c>
      <c r="H190" s="1" t="str">
        <f>"Результат"</f>
        <v>Результат</v>
      </c>
      <c r="I190" s="1" t="str">
        <f t="shared" si="31"/>
        <v>Позитивний</v>
      </c>
      <c r="J190" s="1" t="str">
        <f>"Ні"</f>
        <v>Ні</v>
      </c>
    </row>
    <row r="191" spans="1:10" ht="45" x14ac:dyDescent="0.25">
      <c r="A191" s="1" t="str">
        <f>"209-2020/27"</f>
        <v>209-2020/27</v>
      </c>
      <c r="B191" s="1" t="str">
        <f t="shared" si="30"/>
        <v>14.01.2020</v>
      </c>
      <c r="C191" s="1" t="str">
        <f t="shared" si="21"/>
        <v>Закрито</v>
      </c>
      <c r="D191" s="1" t="str">
        <f>"Зняття з реєстрації місця проживання"</f>
        <v>Зняття з реєстрації місця проживання</v>
      </c>
      <c r="E191" s="1" t="str">
        <f>"Реєстрація місця проживання"</f>
        <v>Реєстрація місця проживання</v>
      </c>
      <c r="F191" s="1" t="str">
        <f>"Відділ реєстрації Новокаховської міської ради"</f>
        <v>Відділ реєстрації Новокаховської міської ради</v>
      </c>
      <c r="G191" s="1" t="str">
        <f>"1"</f>
        <v>1</v>
      </c>
      <c r="H191" s="1" t="str">
        <f>"Результат"</f>
        <v>Результат</v>
      </c>
      <c r="I191" s="1" t="str">
        <f t="shared" si="31"/>
        <v>Позитивний</v>
      </c>
      <c r="J191" s="1" t="str">
        <f>"Так"</f>
        <v>Так</v>
      </c>
    </row>
    <row r="192" spans="1:10" ht="45" x14ac:dyDescent="0.25">
      <c r="A192" s="1" t="str">
        <f>"193-2020/27"</f>
        <v>193-2020/27</v>
      </c>
      <c r="B192" s="1" t="str">
        <f t="shared" si="30"/>
        <v>14.01.2020</v>
      </c>
      <c r="C192" s="1" t="str">
        <f t="shared" si="21"/>
        <v>Закрито</v>
      </c>
      <c r="D192" s="1" t="str">
        <f>"Зняття з реєстрації місця проживання"</f>
        <v>Зняття з реєстрації місця проживання</v>
      </c>
      <c r="E192" s="1" t="str">
        <f>"Реєстрація місця проживання"</f>
        <v>Реєстрація місця проживання</v>
      </c>
      <c r="F192" s="1" t="str">
        <f>"Відділ реєстрації Новокаховської міської ради"</f>
        <v>Відділ реєстрації Новокаховської міської ради</v>
      </c>
      <c r="G192" s="1" t="str">
        <f>"1"</f>
        <v>1</v>
      </c>
      <c r="H192" s="1" t="str">
        <f>"Результат"</f>
        <v>Результат</v>
      </c>
      <c r="I192" s="1" t="str">
        <f t="shared" si="31"/>
        <v>Позитивний</v>
      </c>
      <c r="J192" s="1" t="str">
        <f>"Так"</f>
        <v>Так</v>
      </c>
    </row>
    <row r="193" spans="1:10" ht="45" x14ac:dyDescent="0.25">
      <c r="A193" s="1" t="str">
        <f>"206-2020/27"</f>
        <v>206-2020/27</v>
      </c>
      <c r="B193" s="1" t="str">
        <f t="shared" si="30"/>
        <v>14.01.2020</v>
      </c>
      <c r="C193" s="1" t="str">
        <f t="shared" si="21"/>
        <v>Закрито</v>
      </c>
      <c r="D193" s="1" t="str">
        <f>"Реєстрація місця проживання особи"</f>
        <v>Реєстрація місця проживання особи</v>
      </c>
      <c r="E193" s="1" t="str">
        <f>"Реєстрація місця проживання"</f>
        <v>Реєстрація місця проживання</v>
      </c>
      <c r="F193" s="1" t="str">
        <f>"Відділ реєстрації Новокаховської міської ради"</f>
        <v>Відділ реєстрації Новокаховської міської ради</v>
      </c>
      <c r="G193" s="1" t="str">
        <f>"1"</f>
        <v>1</v>
      </c>
      <c r="H193" s="1" t="str">
        <f>"Результат"</f>
        <v>Результат</v>
      </c>
      <c r="I193" s="1" t="str">
        <f t="shared" si="31"/>
        <v>Позитивний</v>
      </c>
      <c r="J193" s="1" t="str">
        <f>"Так"</f>
        <v>Так</v>
      </c>
    </row>
    <row r="194" spans="1:10" ht="135" x14ac:dyDescent="0.25">
      <c r="A194" s="1" t="str">
        <f>"181-2020/27"</f>
        <v>181-2020/27</v>
      </c>
      <c r="B194" s="1" t="str">
        <f t="shared" si="30"/>
        <v>14.01.2020</v>
      </c>
      <c r="C194" s="1" t="str">
        <f t="shared" si="21"/>
        <v>Закрито</v>
      </c>
      <c r="D1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4" s="1" t="str">
        <f>"Земельні питання"</f>
        <v>Земельні питання</v>
      </c>
      <c r="F1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4" s="1" t="str">
        <f>"3"</f>
        <v>3</v>
      </c>
      <c r="H194" s="1" t="str">
        <f>"Результат"</f>
        <v>Результат</v>
      </c>
      <c r="I194" s="1" t="str">
        <f t="shared" si="31"/>
        <v>Позитивний</v>
      </c>
      <c r="J194" s="1" t="str">
        <f>"Ні"</f>
        <v>Ні</v>
      </c>
    </row>
    <row r="195" spans="1:10" ht="45" x14ac:dyDescent="0.25">
      <c r="A195" s="1" t="str">
        <f>"210-2020/27"</f>
        <v>210-2020/27</v>
      </c>
      <c r="B195" s="1" t="str">
        <f t="shared" si="30"/>
        <v>14.01.2020</v>
      </c>
      <c r="C195" s="1" t="str">
        <f t="shared" si="21"/>
        <v>Закрито</v>
      </c>
      <c r="D195" s="1" t="str">
        <f>"Зняття з реєстрації місця проживання"</f>
        <v>Зняття з реєстрації місця проживання</v>
      </c>
      <c r="E195" s="1" t="str">
        <f>"Реєстрація місця проживання"</f>
        <v>Реєстрація місця проживання</v>
      </c>
      <c r="F195" s="1" t="str">
        <f>"Відділ реєстрації Новокаховської міської ради"</f>
        <v>Відділ реєстрації Новокаховської міської ради</v>
      </c>
      <c r="G195" s="1" t="str">
        <f>"1"</f>
        <v>1</v>
      </c>
      <c r="H195" s="1" t="str">
        <f>"Результат"</f>
        <v>Результат</v>
      </c>
      <c r="I195" s="1" t="str">
        <f t="shared" si="31"/>
        <v>Позитивний</v>
      </c>
      <c r="J195" s="1" t="str">
        <f>"Так"</f>
        <v>Так</v>
      </c>
    </row>
    <row r="196" spans="1:10" ht="105" x14ac:dyDescent="0.25">
      <c r="A196" s="1" t="str">
        <f>"196-2020/27"</f>
        <v>196-2020/27</v>
      </c>
      <c r="B196" s="1" t="str">
        <f t="shared" si="30"/>
        <v>14.01.2020</v>
      </c>
      <c r="C196" s="1" t="str">
        <f t="shared" si="21"/>
        <v>Закрито</v>
      </c>
      <c r="D19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6" s="1" t="str">
        <f>"Земельні питання"</f>
        <v>Земельні питання</v>
      </c>
      <c r="F19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96" s="1" t="str">
        <f>"1"</f>
        <v>1</v>
      </c>
      <c r="H196" s="1" t="str">
        <f>"Результат"</f>
        <v>Результат</v>
      </c>
      <c r="I196" s="1" t="str">
        <f t="shared" si="31"/>
        <v>Позитивний</v>
      </c>
      <c r="J196" s="1" t="str">
        <f>"Так"</f>
        <v>Так</v>
      </c>
    </row>
    <row r="197" spans="1:10" ht="135" x14ac:dyDescent="0.25">
      <c r="A197" s="1" t="str">
        <f>"182-2020/27"</f>
        <v>182-2020/27</v>
      </c>
      <c r="B197" s="1" t="str">
        <f t="shared" si="30"/>
        <v>14.01.2020</v>
      </c>
      <c r="C197" s="1" t="str">
        <f t="shared" ref="C197:C260" si="32">"Закрито"</f>
        <v>Закрито</v>
      </c>
      <c r="D1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7" s="1" t="str">
        <f>"Земельні питання"</f>
        <v>Земельні питання</v>
      </c>
      <c r="F1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7" s="1" t="str">
        <f>"3"</f>
        <v>3</v>
      </c>
      <c r="H197" s="1" t="str">
        <f>"Результат"</f>
        <v>Результат</v>
      </c>
      <c r="I197" s="1" t="str">
        <f t="shared" si="31"/>
        <v>Позитивний</v>
      </c>
      <c r="J197" s="1" t="str">
        <f>"Ні"</f>
        <v>Ні</v>
      </c>
    </row>
    <row r="198" spans="1:10" ht="45" x14ac:dyDescent="0.25">
      <c r="A198" s="1" t="str">
        <f>"189-2020/27"</f>
        <v>189-2020/27</v>
      </c>
      <c r="B198" s="1" t="str">
        <f t="shared" si="30"/>
        <v>14.01.2020</v>
      </c>
      <c r="C198" s="1" t="str">
        <f t="shared" si="32"/>
        <v>Закрито</v>
      </c>
      <c r="D198" s="1" t="str">
        <f>"Зняття з реєстрації місця проживання"</f>
        <v>Зняття з реєстрації місця проживання</v>
      </c>
      <c r="E198" s="1" t="str">
        <f>"Реєстрація місця проживання"</f>
        <v>Реєстрація місця проживання</v>
      </c>
      <c r="F198" s="1" t="str">
        <f>"Відділ реєстрації Новокаховської міської ради"</f>
        <v>Відділ реєстрації Новокаховської міської ради</v>
      </c>
      <c r="G198" s="1" t="str">
        <f>"1"</f>
        <v>1</v>
      </c>
      <c r="H198" s="1" t="str">
        <f>"Результат"</f>
        <v>Результат</v>
      </c>
      <c r="I198" s="1" t="str">
        <f t="shared" si="31"/>
        <v>Позитивний</v>
      </c>
      <c r="J198" s="1" t="str">
        <f>"Так"</f>
        <v>Так</v>
      </c>
    </row>
    <row r="199" spans="1:10" ht="135" x14ac:dyDescent="0.25">
      <c r="A199" s="1" t="str">
        <f>"184-2020/27"</f>
        <v>184-2020/27</v>
      </c>
      <c r="B199" s="1" t="str">
        <f t="shared" si="30"/>
        <v>14.01.2020</v>
      </c>
      <c r="C199" s="1" t="str">
        <f t="shared" si="32"/>
        <v>Закрито</v>
      </c>
      <c r="D19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99" s="1" t="str">
        <f>"Земельні питання"</f>
        <v>Земельні питання</v>
      </c>
      <c r="F1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9" s="1" t="str">
        <f>"14"</f>
        <v>14</v>
      </c>
      <c r="H199" s="1" t="str">
        <f>"Результат"</f>
        <v>Результат</v>
      </c>
      <c r="I199" s="1" t="str">
        <f t="shared" si="31"/>
        <v>Позитивний</v>
      </c>
      <c r="J199" s="1" t="str">
        <f>"Ні"</f>
        <v>Ні</v>
      </c>
    </row>
    <row r="200" spans="1:10" ht="45" x14ac:dyDescent="0.25">
      <c r="A200" s="1" t="str">
        <f>"199-2020/27"</f>
        <v>199-2020/27</v>
      </c>
      <c r="B200" s="1" t="str">
        <f t="shared" si="30"/>
        <v>14.01.2020</v>
      </c>
      <c r="C200" s="1" t="str">
        <f t="shared" si="32"/>
        <v>Закрито</v>
      </c>
      <c r="D200" s="1" t="str">
        <f>"Зняття з реєстрації місця проживання"</f>
        <v>Зняття з реєстрації місця проживання</v>
      </c>
      <c r="E200" s="1" t="str">
        <f>"Реєстрація місця проживання"</f>
        <v>Реєстрація місця проживання</v>
      </c>
      <c r="F200" s="1" t="str">
        <f>"Відділ реєстрації Новокаховської міської ради"</f>
        <v>Відділ реєстрації Новокаховської міської ради</v>
      </c>
      <c r="G200" s="1" t="str">
        <f>"1"</f>
        <v>1</v>
      </c>
      <c r="H200" s="1" t="str">
        <f>"Результат"</f>
        <v>Результат</v>
      </c>
      <c r="I200" s="1" t="str">
        <f>"Мотивована відмова"</f>
        <v>Мотивована відмова</v>
      </c>
      <c r="J200" s="1" t="str">
        <f>"Так"</f>
        <v>Так</v>
      </c>
    </row>
    <row r="201" spans="1:10" ht="135" x14ac:dyDescent="0.25">
      <c r="A201" s="1" t="str">
        <f>"203-2020/27"</f>
        <v>203-2020/27</v>
      </c>
      <c r="B201" s="1" t="str">
        <f t="shared" si="30"/>
        <v>14.01.2020</v>
      </c>
      <c r="C201" s="1" t="str">
        <f t="shared" si="32"/>
        <v>Закрито</v>
      </c>
      <c r="D20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01" s="1" t="str">
        <f>"Земельні питання"</f>
        <v>Земельні питання</v>
      </c>
      <c r="F2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1" s="1" t="str">
        <f>"14"</f>
        <v>14</v>
      </c>
      <c r="H201" s="1" t="str">
        <f>"Результат"</f>
        <v>Результат</v>
      </c>
      <c r="I201" s="1" t="str">
        <f t="shared" ref="I201:I208" si="33">"Позитивний"</f>
        <v>Позитивний</v>
      </c>
      <c r="J201" s="1" t="str">
        <f>"Ні"</f>
        <v>Ні</v>
      </c>
    </row>
    <row r="202" spans="1:10" ht="135" x14ac:dyDescent="0.25">
      <c r="A202" s="1" t="str">
        <f>"194-2020/27"</f>
        <v>194-2020/27</v>
      </c>
      <c r="B202" s="1" t="str">
        <f t="shared" si="30"/>
        <v>14.01.2020</v>
      </c>
      <c r="C202" s="1" t="str">
        <f t="shared" si="32"/>
        <v>Закрито</v>
      </c>
      <c r="D2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2" s="1" t="str">
        <f>"Земельні питання"</f>
        <v>Земельні питання</v>
      </c>
      <c r="F2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2" s="1" t="str">
        <f>"3"</f>
        <v>3</v>
      </c>
      <c r="H202" s="1" t="str">
        <f>"Результат"</f>
        <v>Результат</v>
      </c>
      <c r="I202" s="1" t="str">
        <f t="shared" si="33"/>
        <v>Позитивний</v>
      </c>
      <c r="J202" s="1" t="str">
        <f>"Ні"</f>
        <v>Ні</v>
      </c>
    </row>
    <row r="203" spans="1:10" ht="45" x14ac:dyDescent="0.25">
      <c r="A203" s="1" t="str">
        <f>"207-2020/27"</f>
        <v>207-2020/27</v>
      </c>
      <c r="B203" s="1" t="str">
        <f t="shared" si="30"/>
        <v>14.01.2020</v>
      </c>
      <c r="C203" s="1" t="str">
        <f t="shared" si="32"/>
        <v>Закрито</v>
      </c>
      <c r="D203" s="1" t="str">
        <f>"Реєстрація місця проживання особи"</f>
        <v>Реєстрація місця проживання особи</v>
      </c>
      <c r="E203" s="1" t="str">
        <f>"Реєстрація місця проживання"</f>
        <v>Реєстрація місця проживання</v>
      </c>
      <c r="F203" s="1" t="str">
        <f>"Відділ реєстрації Новокаховської міської ради"</f>
        <v>Відділ реєстрації Новокаховської міської ради</v>
      </c>
      <c r="G203" s="1" t="str">
        <f>"1"</f>
        <v>1</v>
      </c>
      <c r="H203" s="1" t="str">
        <f>"Результат"</f>
        <v>Результат</v>
      </c>
      <c r="I203" s="1" t="str">
        <f t="shared" si="33"/>
        <v>Позитивний</v>
      </c>
      <c r="J203" s="1" t="str">
        <f>"Так"</f>
        <v>Так</v>
      </c>
    </row>
    <row r="204" spans="1:10" ht="45" x14ac:dyDescent="0.25">
      <c r="A204" s="1" t="str">
        <f>"190-2020/27"</f>
        <v>190-2020/27</v>
      </c>
      <c r="B204" s="1" t="str">
        <f t="shared" si="30"/>
        <v>14.01.2020</v>
      </c>
      <c r="C204" s="1" t="str">
        <f t="shared" si="32"/>
        <v>Закрито</v>
      </c>
      <c r="D204" s="1" t="str">
        <f>"Зняття з реєстрації місця проживання"</f>
        <v>Зняття з реєстрації місця проживання</v>
      </c>
      <c r="E204" s="1" t="str">
        <f>"Реєстрація місця проживання"</f>
        <v>Реєстрація місця проживання</v>
      </c>
      <c r="F204" s="1" t="str">
        <f>"Відділ реєстрації Новокаховської міської ради"</f>
        <v>Відділ реєстрації Новокаховської міської ради</v>
      </c>
      <c r="G204" s="1" t="str">
        <f>"1"</f>
        <v>1</v>
      </c>
      <c r="H204" s="1" t="str">
        <f>"Результат"</f>
        <v>Результат</v>
      </c>
      <c r="I204" s="1" t="str">
        <f t="shared" si="33"/>
        <v>Позитивний</v>
      </c>
      <c r="J204" s="1" t="str">
        <f>"Так"</f>
        <v>Так</v>
      </c>
    </row>
    <row r="205" spans="1:10" ht="90" x14ac:dyDescent="0.25">
      <c r="A205" s="1" t="str">
        <f>"191-2020/27"</f>
        <v>191-2020/27</v>
      </c>
      <c r="B205" s="1" t="str">
        <f t="shared" si="30"/>
        <v>14.01.2020</v>
      </c>
      <c r="C205" s="1" t="str">
        <f t="shared" si="32"/>
        <v>Закрито</v>
      </c>
      <c r="D20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5" s="1" t="str">
        <f>"Інші послуги"</f>
        <v>Інші послуги</v>
      </c>
      <c r="F20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5" s="1" t="str">
        <f>"5"</f>
        <v>5</v>
      </c>
      <c r="H205" s="1" t="str">
        <f>"Результат"</f>
        <v>Результат</v>
      </c>
      <c r="I205" s="1" t="str">
        <f t="shared" si="33"/>
        <v>Позитивний</v>
      </c>
      <c r="J205" s="1" t="str">
        <f>"Ні"</f>
        <v>Ні</v>
      </c>
    </row>
    <row r="206" spans="1:10" ht="105" x14ac:dyDescent="0.25">
      <c r="A206" s="1" t="str">
        <f>"211-2020/27"</f>
        <v>211-2020/27</v>
      </c>
      <c r="B206" s="1" t="str">
        <f t="shared" si="30"/>
        <v>14.01.2020</v>
      </c>
      <c r="C206" s="1" t="str">
        <f t="shared" si="32"/>
        <v>Закрито</v>
      </c>
      <c r="D20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6" s="1" t="str">
        <f>"Земельні питання"</f>
        <v>Земельні питання</v>
      </c>
      <c r="F20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06" s="1" t="str">
        <f>"1"</f>
        <v>1</v>
      </c>
      <c r="H206" s="1" t="str">
        <f>"Результат"</f>
        <v>Результат</v>
      </c>
      <c r="I206" s="1" t="str">
        <f t="shared" si="33"/>
        <v>Позитивний</v>
      </c>
      <c r="J206" s="1" t="str">
        <f>"Ні"</f>
        <v>Ні</v>
      </c>
    </row>
    <row r="207" spans="1:10" ht="90" x14ac:dyDescent="0.25">
      <c r="A207" s="1" t="str">
        <f>"183-2020/27"</f>
        <v>183-2020/27</v>
      </c>
      <c r="B207" s="1" t="str">
        <f t="shared" si="30"/>
        <v>14.01.2020</v>
      </c>
      <c r="C207" s="1" t="str">
        <f t="shared" si="32"/>
        <v>Закрито</v>
      </c>
      <c r="D20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7" s="1" t="str">
        <f>"Інші послуги"</f>
        <v>Інші послуги</v>
      </c>
      <c r="F20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7" s="1" t="str">
        <f>"5"</f>
        <v>5</v>
      </c>
      <c r="H207" s="1" t="str">
        <f>"Результат"</f>
        <v>Результат</v>
      </c>
      <c r="I207" s="1" t="str">
        <f t="shared" si="33"/>
        <v>Позитивний</v>
      </c>
      <c r="J207" s="1" t="str">
        <f>"Ні"</f>
        <v>Ні</v>
      </c>
    </row>
    <row r="208" spans="1:10" ht="135" x14ac:dyDescent="0.25">
      <c r="A208" s="1" t="str">
        <f>"186-2020/27"</f>
        <v>186-2020/27</v>
      </c>
      <c r="B208" s="1" t="str">
        <f t="shared" si="30"/>
        <v>14.01.2020</v>
      </c>
      <c r="C208" s="1" t="str">
        <f t="shared" si="32"/>
        <v>Закрито</v>
      </c>
      <c r="D20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8" s="1" t="str">
        <f>"Земельні питання"</f>
        <v>Земельні питання</v>
      </c>
      <c r="F2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8" s="1" t="str">
        <f>"1"</f>
        <v>1</v>
      </c>
      <c r="H208" s="1" t="str">
        <f>"Результат"</f>
        <v>Результат</v>
      </c>
      <c r="I208" s="1" t="str">
        <f t="shared" si="33"/>
        <v>Позитивний</v>
      </c>
      <c r="J208" s="1" t="str">
        <f>"Так"</f>
        <v>Так</v>
      </c>
    </row>
    <row r="209" spans="1:10" ht="45" x14ac:dyDescent="0.25">
      <c r="A209" s="1" t="str">
        <f>"200-2020/27"</f>
        <v>200-2020/27</v>
      </c>
      <c r="B209" s="1" t="str">
        <f t="shared" si="30"/>
        <v>14.01.2020</v>
      </c>
      <c r="C209" s="1" t="str">
        <f t="shared" si="32"/>
        <v>Закрито</v>
      </c>
      <c r="D209" s="1" t="str">
        <f>"Зняття з реєстрації місця проживання"</f>
        <v>Зняття з реєстрації місця проживання</v>
      </c>
      <c r="E209" s="1" t="str">
        <f>"Реєстрація місця проживання"</f>
        <v>Реєстрація місця проживання</v>
      </c>
      <c r="F209" s="1" t="str">
        <f>"Відділ реєстрації Новокаховської міської ради"</f>
        <v>Відділ реєстрації Новокаховської міської ради</v>
      </c>
      <c r="G209" s="1" t="str">
        <f>"1"</f>
        <v>1</v>
      </c>
      <c r="H209" s="1" t="str">
        <f>"Результат"</f>
        <v>Результат</v>
      </c>
      <c r="I209" s="1" t="str">
        <f>"Мотивована відмова"</f>
        <v>Мотивована відмова</v>
      </c>
      <c r="J209" s="1" t="str">
        <f>"Так"</f>
        <v>Так</v>
      </c>
    </row>
    <row r="210" spans="1:10" ht="45" x14ac:dyDescent="0.25">
      <c r="A210" s="1" t="str">
        <f>"187-2020/27"</f>
        <v>187-2020/27</v>
      </c>
      <c r="B210" s="1" t="str">
        <f t="shared" si="30"/>
        <v>14.01.2020</v>
      </c>
      <c r="C210" s="1" t="str">
        <f t="shared" si="32"/>
        <v>Закрито</v>
      </c>
      <c r="D210" s="1" t="str">
        <f>"Реєстрація місця проживання особи"</f>
        <v>Реєстрація місця проживання особи</v>
      </c>
      <c r="E210" s="1" t="str">
        <f>"Реєстрація місця проживання"</f>
        <v>Реєстрація місця проживання</v>
      </c>
      <c r="F210" s="1" t="str">
        <f>"Відділ реєстрації Новокаховської міської ради"</f>
        <v>Відділ реєстрації Новокаховської міської ради</v>
      </c>
      <c r="G210" s="1" t="str">
        <f>"1"</f>
        <v>1</v>
      </c>
      <c r="H210" s="1" t="str">
        <f>"Результат"</f>
        <v>Результат</v>
      </c>
      <c r="I210" s="1" t="str">
        <f>"Мотивована відмова"</f>
        <v>Мотивована відмова</v>
      </c>
      <c r="J210" s="1" t="str">
        <f>"Так"</f>
        <v>Так</v>
      </c>
    </row>
    <row r="211" spans="1:10" ht="135" x14ac:dyDescent="0.25">
      <c r="A211" s="1" t="str">
        <f>"201-2020/27"</f>
        <v>201-2020/27</v>
      </c>
      <c r="B211" s="1" t="str">
        <f t="shared" si="30"/>
        <v>14.01.2020</v>
      </c>
      <c r="C211" s="1" t="str">
        <f t="shared" si="32"/>
        <v>Закрито</v>
      </c>
      <c r="D21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11" s="1" t="str">
        <f>"Земельні питання"</f>
        <v>Земельні питання</v>
      </c>
      <c r="F2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" s="1" t="str">
        <f>"14"</f>
        <v>14</v>
      </c>
      <c r="H211" s="1" t="str">
        <f>"Результат"</f>
        <v>Результат</v>
      </c>
      <c r="I211" s="1" t="str">
        <f t="shared" ref="I211:I226" si="34">"Позитивний"</f>
        <v>Позитивний</v>
      </c>
      <c r="J211" s="1" t="str">
        <f>"Ні"</f>
        <v>Ні</v>
      </c>
    </row>
    <row r="212" spans="1:10" ht="45" x14ac:dyDescent="0.25">
      <c r="A212" s="1" t="str">
        <f>"197-2020/27"</f>
        <v>197-2020/27</v>
      </c>
      <c r="B212" s="1" t="str">
        <f t="shared" si="30"/>
        <v>14.01.2020</v>
      </c>
      <c r="C212" s="1" t="str">
        <f t="shared" si="32"/>
        <v>Закрито</v>
      </c>
      <c r="D212" s="1" t="str">
        <f>"Реєстрація місця проживання особи"</f>
        <v>Реєстрація місця проживання особи</v>
      </c>
      <c r="E212" s="1" t="str">
        <f>"Реєстрація місця проживання"</f>
        <v>Реєстрація місця проживання</v>
      </c>
      <c r="F212" s="1" t="str">
        <f>"Відділ реєстрації Новокаховської міської ради"</f>
        <v>Відділ реєстрації Новокаховської міської ради</v>
      </c>
      <c r="G212" s="1" t="str">
        <f>"1"</f>
        <v>1</v>
      </c>
      <c r="H212" s="1" t="str">
        <f>"Результат"</f>
        <v>Результат</v>
      </c>
      <c r="I212" s="1" t="str">
        <f t="shared" si="34"/>
        <v>Позитивний</v>
      </c>
      <c r="J212" s="1" t="str">
        <f>"Так"</f>
        <v>Так</v>
      </c>
    </row>
    <row r="213" spans="1:10" ht="105" x14ac:dyDescent="0.25">
      <c r="A213" s="1" t="str">
        <f>"192-2020/27"</f>
        <v>192-2020/27</v>
      </c>
      <c r="B213" s="1" t="str">
        <f t="shared" si="30"/>
        <v>14.01.2020</v>
      </c>
      <c r="C213" s="1" t="str">
        <f t="shared" si="32"/>
        <v>Закрито</v>
      </c>
      <c r="D21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3" s="1" t="str">
        <f>"Земельні питання"</f>
        <v>Земельні питання</v>
      </c>
      <c r="F21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13" s="1" t="str">
        <f>"1"</f>
        <v>1</v>
      </c>
      <c r="H213" s="1" t="str">
        <f>"Результат"</f>
        <v>Результат</v>
      </c>
      <c r="I213" s="1" t="str">
        <f t="shared" si="34"/>
        <v>Позитивний</v>
      </c>
      <c r="J213" s="1" t="str">
        <f>"Так"</f>
        <v>Так</v>
      </c>
    </row>
    <row r="214" spans="1:10" ht="135" x14ac:dyDescent="0.25">
      <c r="A214" s="1" t="str">
        <f>"213-2020/27"</f>
        <v>213-2020/27</v>
      </c>
      <c r="B214" s="1" t="str">
        <f t="shared" si="30"/>
        <v>14.01.2020</v>
      </c>
      <c r="C214" s="1" t="str">
        <f t="shared" si="32"/>
        <v>Закрито</v>
      </c>
      <c r="D21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4" s="1" t="str">
        <f>"Земельні питання"</f>
        <v>Земельні питання</v>
      </c>
      <c r="F2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" s="1" t="str">
        <f>"1"</f>
        <v>1</v>
      </c>
      <c r="H214" s="1" t="str">
        <f>"Результат"</f>
        <v>Результат</v>
      </c>
      <c r="I214" s="1" t="str">
        <f t="shared" si="34"/>
        <v>Позитивний</v>
      </c>
      <c r="J214" s="1" t="str">
        <f>"Так"</f>
        <v>Так</v>
      </c>
    </row>
    <row r="215" spans="1:10" ht="45" x14ac:dyDescent="0.25">
      <c r="A215" s="1" t="str">
        <f>"195-2020/27"</f>
        <v>195-2020/27</v>
      </c>
      <c r="B215" s="1" t="str">
        <f t="shared" si="30"/>
        <v>14.01.2020</v>
      </c>
      <c r="C215" s="1" t="str">
        <f t="shared" si="32"/>
        <v>Закрито</v>
      </c>
      <c r="D215" s="1" t="str">
        <f>"Реєстрація місця проживання особи"</f>
        <v>Реєстрація місця проживання особи</v>
      </c>
      <c r="E215" s="1" t="str">
        <f>"Реєстрація місця проживання"</f>
        <v>Реєстрація місця проживання</v>
      </c>
      <c r="F215" s="1" t="str">
        <f>"Відділ реєстрації Новокаховської міської ради"</f>
        <v>Відділ реєстрації Новокаховської міської ради</v>
      </c>
      <c r="G215" s="1" t="str">
        <f>"1"</f>
        <v>1</v>
      </c>
      <c r="H215" s="1" t="str">
        <f>"Результат"</f>
        <v>Результат</v>
      </c>
      <c r="I215" s="1" t="str">
        <f t="shared" si="34"/>
        <v>Позитивний</v>
      </c>
      <c r="J215" s="1" t="str">
        <f>"Так"</f>
        <v>Так</v>
      </c>
    </row>
    <row r="216" spans="1:10" ht="135" x14ac:dyDescent="0.25">
      <c r="A216" s="1" t="str">
        <f>"204-2020/27"</f>
        <v>204-2020/27</v>
      </c>
      <c r="B216" s="1" t="str">
        <f t="shared" si="30"/>
        <v>14.01.2020</v>
      </c>
      <c r="C216" s="1" t="str">
        <f t="shared" si="32"/>
        <v>Закрито</v>
      </c>
      <c r="D2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6" s="1" t="str">
        <f>"Земельні питання"</f>
        <v>Земельні питання</v>
      </c>
      <c r="F2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" s="1" t="str">
        <f>"3"</f>
        <v>3</v>
      </c>
      <c r="H216" s="1" t="str">
        <f>"Результат"</f>
        <v>Результат</v>
      </c>
      <c r="I216" s="1" t="str">
        <f t="shared" si="34"/>
        <v>Позитивний</v>
      </c>
      <c r="J216" s="1" t="str">
        <f>"Ні"</f>
        <v>Ні</v>
      </c>
    </row>
    <row r="217" spans="1:10" ht="135" x14ac:dyDescent="0.25">
      <c r="A217" s="1" t="str">
        <f>"212-2020/27"</f>
        <v>212-2020/27</v>
      </c>
      <c r="B217" s="1" t="str">
        <f t="shared" si="30"/>
        <v>14.01.2020</v>
      </c>
      <c r="C217" s="1" t="str">
        <f t="shared" si="32"/>
        <v>Закрито</v>
      </c>
      <c r="D21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7" s="1" t="str">
        <f>"Земельні питання"</f>
        <v>Земельні питання</v>
      </c>
      <c r="F2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" s="1" t="str">
        <f t="shared" ref="G217:G224" si="35">"1"</f>
        <v>1</v>
      </c>
      <c r="H217" s="1" t="str">
        <f>"Результат"</f>
        <v>Результат</v>
      </c>
      <c r="I217" s="1" t="str">
        <f t="shared" si="34"/>
        <v>Позитивний</v>
      </c>
      <c r="J217" s="1" t="str">
        <f>"Так"</f>
        <v>Так</v>
      </c>
    </row>
    <row r="218" spans="1:10" ht="45" x14ac:dyDescent="0.25">
      <c r="A218" s="1" t="str">
        <f>"202-2020/27"</f>
        <v>202-2020/27</v>
      </c>
      <c r="B218" s="1" t="str">
        <f t="shared" si="30"/>
        <v>14.01.2020</v>
      </c>
      <c r="C218" s="1" t="str">
        <f t="shared" si="32"/>
        <v>Закрито</v>
      </c>
      <c r="D218" s="1" t="str">
        <f>"Реєстрація місця проживання особи"</f>
        <v>Реєстрація місця проживання особи</v>
      </c>
      <c r="E218" s="1" t="str">
        <f>"Реєстрація місця проживання"</f>
        <v>Реєстрація місця проживання</v>
      </c>
      <c r="F218" s="1" t="str">
        <f>"Відділ реєстрації Новокаховської міської ради"</f>
        <v>Відділ реєстрації Новокаховської міської ради</v>
      </c>
      <c r="G218" s="1" t="str">
        <f t="shared" si="35"/>
        <v>1</v>
      </c>
      <c r="H218" s="1" t="str">
        <f>"Результат"</f>
        <v>Результат</v>
      </c>
      <c r="I218" s="1" t="str">
        <f t="shared" si="34"/>
        <v>Позитивний</v>
      </c>
      <c r="J218" s="1" t="str">
        <f>"Так"</f>
        <v>Так</v>
      </c>
    </row>
    <row r="219" spans="1:10" ht="45" x14ac:dyDescent="0.25">
      <c r="A219" s="1" t="str">
        <f>"185-2020/27"</f>
        <v>185-2020/27</v>
      </c>
      <c r="B219" s="1" t="str">
        <f t="shared" si="30"/>
        <v>14.01.2020</v>
      </c>
      <c r="C219" s="1" t="str">
        <f t="shared" si="32"/>
        <v>Закрито</v>
      </c>
      <c r="D219" s="1" t="str">
        <f>"Реєстрація місця проживання особи"</f>
        <v>Реєстрація місця проживання особи</v>
      </c>
      <c r="E219" s="1" t="str">
        <f>"Реєстрація місця проживання"</f>
        <v>Реєстрація місця проживання</v>
      </c>
      <c r="F219" s="1" t="str">
        <f>"Відділ реєстрації Новокаховської міської ради"</f>
        <v>Відділ реєстрації Новокаховської міської ради</v>
      </c>
      <c r="G219" s="1" t="str">
        <f t="shared" si="35"/>
        <v>1</v>
      </c>
      <c r="H219" s="1" t="str">
        <f>"Результат"</f>
        <v>Результат</v>
      </c>
      <c r="I219" s="1" t="str">
        <f t="shared" si="34"/>
        <v>Позитивний</v>
      </c>
      <c r="J219" s="1" t="str">
        <f>"Так"</f>
        <v>Так</v>
      </c>
    </row>
    <row r="220" spans="1:10" ht="45" x14ac:dyDescent="0.25">
      <c r="A220" s="1" t="str">
        <f>"223-2020/27"</f>
        <v>223-2020/27</v>
      </c>
      <c r="B220" s="1" t="str">
        <f t="shared" ref="B220:B254" si="36">"15.01.2020"</f>
        <v>15.01.2020</v>
      </c>
      <c r="C220" s="1" t="str">
        <f t="shared" si="32"/>
        <v>Закрито</v>
      </c>
      <c r="D220" s="1" t="str">
        <f>"Зняття з реєстрації місця проживання"</f>
        <v>Зняття з реєстрації місця проживання</v>
      </c>
      <c r="E220" s="1" t="str">
        <f>"Реєстрація місця проживання"</f>
        <v>Реєстрація місця проживання</v>
      </c>
      <c r="F220" s="1" t="str">
        <f>"Відділ реєстрації Новокаховської міської ради"</f>
        <v>Відділ реєстрації Новокаховської міської ради</v>
      </c>
      <c r="G220" s="1" t="str">
        <f t="shared" si="35"/>
        <v>1</v>
      </c>
      <c r="H220" s="1" t="str">
        <f>"Результат"</f>
        <v>Результат</v>
      </c>
      <c r="I220" s="1" t="str">
        <f t="shared" si="34"/>
        <v>Позитивний</v>
      </c>
      <c r="J220" s="1" t="str">
        <f>"Так"</f>
        <v>Так</v>
      </c>
    </row>
    <row r="221" spans="1:10" ht="135" x14ac:dyDescent="0.25">
      <c r="A221" s="1" t="str">
        <f>"229-2020/27"</f>
        <v>229-2020/27</v>
      </c>
      <c r="B221" s="1" t="str">
        <f t="shared" si="36"/>
        <v>15.01.2020</v>
      </c>
      <c r="C221" s="1" t="str">
        <f t="shared" si="32"/>
        <v>Закрито</v>
      </c>
      <c r="D2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1" s="1" t="str">
        <f>"Земельні питання"</f>
        <v>Земельні питання</v>
      </c>
      <c r="F2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" s="1" t="str">
        <f t="shared" si="35"/>
        <v>1</v>
      </c>
      <c r="H221" s="1" t="str">
        <f>"Результат"</f>
        <v>Результат</v>
      </c>
      <c r="I221" s="1" t="str">
        <f t="shared" si="34"/>
        <v>Позитивний</v>
      </c>
      <c r="J221" s="1" t="str">
        <f>"Ні"</f>
        <v>Ні</v>
      </c>
    </row>
    <row r="222" spans="1:10" ht="45" x14ac:dyDescent="0.25">
      <c r="A222" s="1" t="str">
        <f>"217-2020/27"</f>
        <v>217-2020/27</v>
      </c>
      <c r="B222" s="1" t="str">
        <f t="shared" si="36"/>
        <v>15.01.2020</v>
      </c>
      <c r="C222" s="1" t="str">
        <f t="shared" si="32"/>
        <v>Закрито</v>
      </c>
      <c r="D222" s="1" t="str">
        <f>"Реєстрація місця проживання особи"</f>
        <v>Реєстрація місця проживання особи</v>
      </c>
      <c r="E222" s="1" t="str">
        <f>"Реєстрація місця проживання"</f>
        <v>Реєстрація місця проживання</v>
      </c>
      <c r="F222" s="1" t="str">
        <f>"Відділ реєстрації Новокаховської міської ради"</f>
        <v>Відділ реєстрації Новокаховської міської ради</v>
      </c>
      <c r="G222" s="1" t="str">
        <f t="shared" si="35"/>
        <v>1</v>
      </c>
      <c r="H222" s="1" t="str">
        <f>"Результат"</f>
        <v>Результат</v>
      </c>
      <c r="I222" s="1" t="str">
        <f t="shared" si="34"/>
        <v>Позитивний</v>
      </c>
      <c r="J222" s="1" t="str">
        <f>"Так"</f>
        <v>Так</v>
      </c>
    </row>
    <row r="223" spans="1:10" ht="105" x14ac:dyDescent="0.25">
      <c r="A223" s="1" t="str">
        <f>"238-2020/27"</f>
        <v>238-2020/27</v>
      </c>
      <c r="B223" s="1" t="str">
        <f t="shared" si="36"/>
        <v>15.01.2020</v>
      </c>
      <c r="C223" s="1" t="str">
        <f t="shared" si="32"/>
        <v>Закрито</v>
      </c>
      <c r="D2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3" s="1" t="str">
        <f>"Земельні питання"</f>
        <v>Земельні питання</v>
      </c>
      <c r="F22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23" s="1" t="str">
        <f t="shared" si="35"/>
        <v>1</v>
      </c>
      <c r="H223" s="1" t="str">
        <f>"Результат"</f>
        <v>Результат</v>
      </c>
      <c r="I223" s="1" t="str">
        <f t="shared" si="34"/>
        <v>Позитивний</v>
      </c>
      <c r="J223" s="1" t="str">
        <f t="shared" ref="J223:J231" si="37">"Ні"</f>
        <v>Ні</v>
      </c>
    </row>
    <row r="224" spans="1:10" ht="135" x14ac:dyDescent="0.25">
      <c r="A224" s="1" t="str">
        <f>"230-2020/27"</f>
        <v>230-2020/27</v>
      </c>
      <c r="B224" s="1" t="str">
        <f t="shared" si="36"/>
        <v>15.01.2020</v>
      </c>
      <c r="C224" s="1" t="str">
        <f t="shared" si="32"/>
        <v>Закрито</v>
      </c>
      <c r="D2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" s="1" t="str">
        <f>"Земельні питання"</f>
        <v>Земельні питання</v>
      </c>
      <c r="F2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4" s="1" t="str">
        <f t="shared" si="35"/>
        <v>1</v>
      </c>
      <c r="H224" s="1" t="str">
        <f>"Результат"</f>
        <v>Результат</v>
      </c>
      <c r="I224" s="1" t="str">
        <f t="shared" si="34"/>
        <v>Позитивний</v>
      </c>
      <c r="J224" s="1" t="str">
        <f t="shared" si="37"/>
        <v>Ні</v>
      </c>
    </row>
    <row r="225" spans="1:10" ht="120" x14ac:dyDescent="0.25">
      <c r="A225" s="1" t="str">
        <f>"227-2020/27"</f>
        <v>227-2020/27</v>
      </c>
      <c r="B225" s="1" t="str">
        <f t="shared" si="36"/>
        <v>15.01.2020</v>
      </c>
      <c r="C225" s="1" t="str">
        <f t="shared" si="32"/>
        <v>Закрито</v>
      </c>
      <c r="D22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25" s="1" t="str">
        <f>"Будівництво"</f>
        <v>Будівництво</v>
      </c>
      <c r="F22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25" s="1" t="str">
        <f>"10"</f>
        <v>10</v>
      </c>
      <c r="H225" s="1" t="str">
        <f>"Результат"</f>
        <v>Результат</v>
      </c>
      <c r="I225" s="1" t="str">
        <f t="shared" si="34"/>
        <v>Позитивний</v>
      </c>
      <c r="J225" s="1" t="str">
        <f t="shared" si="37"/>
        <v>Ні</v>
      </c>
    </row>
    <row r="226" spans="1:10" ht="90" x14ac:dyDescent="0.25">
      <c r="A226" s="1" t="str">
        <f>"214-2020/27"</f>
        <v>214-2020/27</v>
      </c>
      <c r="B226" s="1" t="str">
        <f t="shared" si="36"/>
        <v>15.01.2020</v>
      </c>
      <c r="C226" s="1" t="str">
        <f t="shared" si="32"/>
        <v>Закрито</v>
      </c>
      <c r="D22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6" s="1" t="str">
        <f>"Інші послуги"</f>
        <v>Інші послуги</v>
      </c>
      <c r="F22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6" s="1" t="str">
        <f>"5"</f>
        <v>5</v>
      </c>
      <c r="H226" s="1" t="str">
        <f>"Результат"</f>
        <v>Результат</v>
      </c>
      <c r="I226" s="1" t="str">
        <f t="shared" si="34"/>
        <v>Позитивний</v>
      </c>
      <c r="J226" s="1" t="str">
        <f t="shared" si="37"/>
        <v>Ні</v>
      </c>
    </row>
    <row r="227" spans="1:10" ht="135" x14ac:dyDescent="0.25">
      <c r="A227" s="1" t="str">
        <f>"248-2020/27"</f>
        <v>248-2020/27</v>
      </c>
      <c r="B227" s="1" t="str">
        <f t="shared" si="36"/>
        <v>15.01.2020</v>
      </c>
      <c r="C227" s="1" t="str">
        <f t="shared" si="32"/>
        <v>Закрито</v>
      </c>
      <c r="D22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7" s="1" t="str">
        <f>"Земельні питання"</f>
        <v>Земельні питання</v>
      </c>
      <c r="F2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7" s="1" t="str">
        <f>"3"</f>
        <v>3</v>
      </c>
      <c r="H227" s="1" t="str">
        <f>"Результат"</f>
        <v>Результат</v>
      </c>
      <c r="I227" s="1" t="str">
        <f>"Мотивована відмова"</f>
        <v>Мотивована відмова</v>
      </c>
      <c r="J227" s="1" t="str">
        <f t="shared" si="37"/>
        <v>Ні</v>
      </c>
    </row>
    <row r="228" spans="1:10" ht="90" x14ac:dyDescent="0.25">
      <c r="A228" s="1" t="str">
        <f>"228-2020/27"</f>
        <v>228-2020/27</v>
      </c>
      <c r="B228" s="1" t="str">
        <f t="shared" si="36"/>
        <v>15.01.2020</v>
      </c>
      <c r="C228" s="1" t="str">
        <f t="shared" si="32"/>
        <v>Закрито</v>
      </c>
      <c r="D22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8" s="1" t="str">
        <f>"Інші послуги"</f>
        <v>Інші послуги</v>
      </c>
      <c r="F22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8" s="1" t="str">
        <f>"5"</f>
        <v>5</v>
      </c>
      <c r="H228" s="1" t="str">
        <f>"Результат"</f>
        <v>Результат</v>
      </c>
      <c r="I228" s="1" t="str">
        <f t="shared" ref="I228:I240" si="38">"Позитивний"</f>
        <v>Позитивний</v>
      </c>
      <c r="J228" s="1" t="str">
        <f t="shared" si="37"/>
        <v>Ні</v>
      </c>
    </row>
    <row r="229" spans="1:10" ht="135" x14ac:dyDescent="0.25">
      <c r="A229" s="1" t="str">
        <f>"235-2020/27"</f>
        <v>235-2020/27</v>
      </c>
      <c r="B229" s="1" t="str">
        <f t="shared" si="36"/>
        <v>15.01.2020</v>
      </c>
      <c r="C229" s="1" t="str">
        <f t="shared" si="32"/>
        <v>Закрито</v>
      </c>
      <c r="D22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9" s="1" t="str">
        <f t="shared" ref="E229:E235" si="39">"Земельні питання"</f>
        <v>Земельні питання</v>
      </c>
      <c r="F2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9" s="1" t="str">
        <f>"1"</f>
        <v>1</v>
      </c>
      <c r="H229" s="1" t="str">
        <f>"Результат"</f>
        <v>Результат</v>
      </c>
      <c r="I229" s="1" t="str">
        <f t="shared" si="38"/>
        <v>Позитивний</v>
      </c>
      <c r="J229" s="1" t="str">
        <f t="shared" si="37"/>
        <v>Ні</v>
      </c>
    </row>
    <row r="230" spans="1:10" ht="135" x14ac:dyDescent="0.25">
      <c r="A230" s="1" t="str">
        <f>"244-2020/27"</f>
        <v>244-2020/27</v>
      </c>
      <c r="B230" s="1" t="str">
        <f t="shared" si="36"/>
        <v>15.01.2020</v>
      </c>
      <c r="C230" s="1" t="str">
        <f t="shared" si="32"/>
        <v>Закрито</v>
      </c>
      <c r="D23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0" s="1" t="str">
        <f t="shared" si="39"/>
        <v>Земельні питання</v>
      </c>
      <c r="F2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0" s="1" t="str">
        <f>"14"</f>
        <v>14</v>
      </c>
      <c r="H230" s="1" t="str">
        <f>"Результат"</f>
        <v>Результат</v>
      </c>
      <c r="I230" s="1" t="str">
        <f t="shared" si="38"/>
        <v>Позитивний</v>
      </c>
      <c r="J230" s="1" t="str">
        <f t="shared" si="37"/>
        <v>Ні</v>
      </c>
    </row>
    <row r="231" spans="1:10" ht="105" x14ac:dyDescent="0.25">
      <c r="A231" s="1" t="str">
        <f>"240-2020/27"</f>
        <v>240-2020/27</v>
      </c>
      <c r="B231" s="1" t="str">
        <f t="shared" si="36"/>
        <v>15.01.2020</v>
      </c>
      <c r="C231" s="1" t="str">
        <f t="shared" si="32"/>
        <v>Закрито</v>
      </c>
      <c r="D23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1" s="1" t="str">
        <f t="shared" si="39"/>
        <v>Земельні питання</v>
      </c>
      <c r="F23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31" s="1" t="str">
        <f t="shared" ref="G231:G238" si="40">"1"</f>
        <v>1</v>
      </c>
      <c r="H231" s="1" t="str">
        <f>"Результат"</f>
        <v>Результат</v>
      </c>
      <c r="I231" s="1" t="str">
        <f t="shared" si="38"/>
        <v>Позитивний</v>
      </c>
      <c r="J231" s="1" t="str">
        <f t="shared" si="37"/>
        <v>Ні</v>
      </c>
    </row>
    <row r="232" spans="1:10" ht="105" x14ac:dyDescent="0.25">
      <c r="A232" s="1" t="str">
        <f>"246-2020/27"</f>
        <v>246-2020/27</v>
      </c>
      <c r="B232" s="1" t="str">
        <f t="shared" si="36"/>
        <v>15.01.2020</v>
      </c>
      <c r="C232" s="1" t="str">
        <f t="shared" si="32"/>
        <v>Закрито</v>
      </c>
      <c r="D23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2" s="1" t="str">
        <f t="shared" si="39"/>
        <v>Земельні питання</v>
      </c>
      <c r="F23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32" s="1" t="str">
        <f t="shared" si="40"/>
        <v>1</v>
      </c>
      <c r="H232" s="1" t="str">
        <f>"Результат"</f>
        <v>Результат</v>
      </c>
      <c r="I232" s="1" t="str">
        <f t="shared" si="38"/>
        <v>Позитивний</v>
      </c>
      <c r="J232" s="1" t="str">
        <f>"Так"</f>
        <v>Так</v>
      </c>
    </row>
    <row r="233" spans="1:10" ht="105" x14ac:dyDescent="0.25">
      <c r="A233" s="1" t="str">
        <f>"225-2020/27"</f>
        <v>225-2020/27</v>
      </c>
      <c r="B233" s="1" t="str">
        <f t="shared" si="36"/>
        <v>15.01.2020</v>
      </c>
      <c r="C233" s="1" t="str">
        <f t="shared" si="32"/>
        <v>Закрито</v>
      </c>
      <c r="D2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3" s="1" t="str">
        <f t="shared" si="39"/>
        <v>Земельні питання</v>
      </c>
      <c r="F23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33" s="1" t="str">
        <f t="shared" si="40"/>
        <v>1</v>
      </c>
      <c r="H233" s="1" t="str">
        <f>"Результат"</f>
        <v>Результат</v>
      </c>
      <c r="I233" s="1" t="str">
        <f t="shared" si="38"/>
        <v>Позитивний</v>
      </c>
      <c r="J233" s="1" t="str">
        <f>"Так"</f>
        <v>Так</v>
      </c>
    </row>
    <row r="234" spans="1:10" ht="105" x14ac:dyDescent="0.25">
      <c r="A234" s="1" t="str">
        <f>"239-2020/27"</f>
        <v>239-2020/27</v>
      </c>
      <c r="B234" s="1" t="str">
        <f t="shared" si="36"/>
        <v>15.01.2020</v>
      </c>
      <c r="C234" s="1" t="str">
        <f t="shared" si="32"/>
        <v>Закрито</v>
      </c>
      <c r="D23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4" s="1" t="str">
        <f t="shared" si="39"/>
        <v>Земельні питання</v>
      </c>
      <c r="F23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34" s="1" t="str">
        <f t="shared" si="40"/>
        <v>1</v>
      </c>
      <c r="H234" s="1" t="str">
        <f>"Результат"</f>
        <v>Результат</v>
      </c>
      <c r="I234" s="1" t="str">
        <f t="shared" si="38"/>
        <v>Позитивний</v>
      </c>
      <c r="J234" s="1" t="str">
        <f>"Ні"</f>
        <v>Ні</v>
      </c>
    </row>
    <row r="235" spans="1:10" ht="135" x14ac:dyDescent="0.25">
      <c r="A235" s="1" t="str">
        <f>"233-2020/27"</f>
        <v>233-2020/27</v>
      </c>
      <c r="B235" s="1" t="str">
        <f t="shared" si="36"/>
        <v>15.01.2020</v>
      </c>
      <c r="C235" s="1" t="str">
        <f t="shared" si="32"/>
        <v>Закрито</v>
      </c>
      <c r="D23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5" s="1" t="str">
        <f t="shared" si="39"/>
        <v>Земельні питання</v>
      </c>
      <c r="F2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" s="1" t="str">
        <f t="shared" si="40"/>
        <v>1</v>
      </c>
      <c r="H235" s="1" t="str">
        <f>"Результат"</f>
        <v>Результат</v>
      </c>
      <c r="I235" s="1" t="str">
        <f t="shared" si="38"/>
        <v>Позитивний</v>
      </c>
      <c r="J235" s="1" t="str">
        <f>"Ні"</f>
        <v>Ні</v>
      </c>
    </row>
    <row r="236" spans="1:10" ht="45" x14ac:dyDescent="0.25">
      <c r="A236" s="1" t="str">
        <f>"232-2020/27"</f>
        <v>232-2020/27</v>
      </c>
      <c r="B236" s="1" t="str">
        <f t="shared" si="36"/>
        <v>15.01.2020</v>
      </c>
      <c r="C236" s="1" t="str">
        <f t="shared" si="32"/>
        <v>Закрито</v>
      </c>
      <c r="D236" s="1" t="str">
        <f>"Зняття з реєстрації місця проживання"</f>
        <v>Зняття з реєстрації місця проживання</v>
      </c>
      <c r="E236" s="1" t="str">
        <f>"Реєстрація місця проживання"</f>
        <v>Реєстрація місця проживання</v>
      </c>
      <c r="F236" s="1" t="str">
        <f>"Відділ реєстрації Новокаховської міської ради"</f>
        <v>Відділ реєстрації Новокаховської міської ради</v>
      </c>
      <c r="G236" s="1" t="str">
        <f t="shared" si="40"/>
        <v>1</v>
      </c>
      <c r="H236" s="1" t="str">
        <f>"Результат"</f>
        <v>Результат</v>
      </c>
      <c r="I236" s="1" t="str">
        <f t="shared" si="38"/>
        <v>Позитивний</v>
      </c>
      <c r="J236" s="1" t="str">
        <f>"Так"</f>
        <v>Так</v>
      </c>
    </row>
    <row r="237" spans="1:10" ht="135" x14ac:dyDescent="0.25">
      <c r="A237" s="1" t="str">
        <f>"231-2020/27"</f>
        <v>231-2020/27</v>
      </c>
      <c r="B237" s="1" t="str">
        <f t="shared" si="36"/>
        <v>15.01.2020</v>
      </c>
      <c r="C237" s="1" t="str">
        <f t="shared" si="32"/>
        <v>Закрито</v>
      </c>
      <c r="D2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7" s="1" t="str">
        <f>"Земельні питання"</f>
        <v>Земельні питання</v>
      </c>
      <c r="F2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7" s="1" t="str">
        <f t="shared" si="40"/>
        <v>1</v>
      </c>
      <c r="H237" s="1" t="str">
        <f>"Результат"</f>
        <v>Результат</v>
      </c>
      <c r="I237" s="1" t="str">
        <f t="shared" si="38"/>
        <v>Позитивний</v>
      </c>
      <c r="J237" s="1" t="str">
        <f>"Ні"</f>
        <v>Ні</v>
      </c>
    </row>
    <row r="238" spans="1:10" ht="45" x14ac:dyDescent="0.25">
      <c r="A238" s="1" t="str">
        <f>"234-2020/27"</f>
        <v>234-2020/27</v>
      </c>
      <c r="B238" s="1" t="str">
        <f t="shared" si="36"/>
        <v>15.01.2020</v>
      </c>
      <c r="C238" s="1" t="str">
        <f t="shared" si="32"/>
        <v>Закрито</v>
      </c>
      <c r="D238" s="1" t="str">
        <f>"Зняття з реєстрації місця проживання"</f>
        <v>Зняття з реєстрації місця проживання</v>
      </c>
      <c r="E238" s="1" t="str">
        <f>"Реєстрація місця проживання"</f>
        <v>Реєстрація місця проживання</v>
      </c>
      <c r="F238" s="1" t="str">
        <f>"Відділ реєстрації Новокаховської міської ради"</f>
        <v>Відділ реєстрації Новокаховської міської ради</v>
      </c>
      <c r="G238" s="1" t="str">
        <f t="shared" si="40"/>
        <v>1</v>
      </c>
      <c r="H238" s="1" t="str">
        <f>"Результат"</f>
        <v>Результат</v>
      </c>
      <c r="I238" s="1" t="str">
        <f t="shared" si="38"/>
        <v>Позитивний</v>
      </c>
      <c r="J238" s="1" t="str">
        <f>"Так"</f>
        <v>Так</v>
      </c>
    </row>
    <row r="239" spans="1:10" ht="135" x14ac:dyDescent="0.25">
      <c r="A239" s="1" t="str">
        <f>"245-2020/27"</f>
        <v>245-2020/27</v>
      </c>
      <c r="B239" s="1" t="str">
        <f t="shared" si="36"/>
        <v>15.01.2020</v>
      </c>
      <c r="C239" s="1" t="str">
        <f t="shared" si="32"/>
        <v>Закрито</v>
      </c>
      <c r="D23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39" s="1" t="str">
        <f>"Земельні питання"</f>
        <v>Земельні питання</v>
      </c>
      <c r="F23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9" s="1" t="str">
        <f>"3"</f>
        <v>3</v>
      </c>
      <c r="H239" s="1" t="str">
        <f>"Результат"</f>
        <v>Результат</v>
      </c>
      <c r="I239" s="1" t="str">
        <f t="shared" si="38"/>
        <v>Позитивний</v>
      </c>
      <c r="J239" s="1" t="str">
        <f>"Ні"</f>
        <v>Ні</v>
      </c>
    </row>
    <row r="240" spans="1:10" ht="135" x14ac:dyDescent="0.25">
      <c r="A240" s="1" t="str">
        <f>"216-2020/27"</f>
        <v>216-2020/27</v>
      </c>
      <c r="B240" s="1" t="str">
        <f t="shared" si="36"/>
        <v>15.01.2020</v>
      </c>
      <c r="C240" s="1" t="str">
        <f t="shared" si="32"/>
        <v>Закрито</v>
      </c>
      <c r="D24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0" s="1" t="str">
        <f>"Земельні питання"</f>
        <v>Земельні питання</v>
      </c>
      <c r="F2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0" s="1" t="str">
        <f>"3"</f>
        <v>3</v>
      </c>
      <c r="H240" s="1" t="str">
        <f>"Результат"</f>
        <v>Результат</v>
      </c>
      <c r="I240" s="1" t="str">
        <f t="shared" si="38"/>
        <v>Позитивний</v>
      </c>
      <c r="J240" s="1" t="str">
        <f>"Ні"</f>
        <v>Ні</v>
      </c>
    </row>
    <row r="241" spans="1:10" ht="135" x14ac:dyDescent="0.25">
      <c r="A241" s="1" t="str">
        <f>"243-2020/27"</f>
        <v>243-2020/27</v>
      </c>
      <c r="B241" s="1" t="str">
        <f t="shared" si="36"/>
        <v>15.01.2020</v>
      </c>
      <c r="C241" s="1" t="str">
        <f t="shared" si="32"/>
        <v>Закрито</v>
      </c>
      <c r="D24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1" s="1" t="str">
        <f>"Земельні питання"</f>
        <v>Земельні питання</v>
      </c>
      <c r="F2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1" s="1" t="str">
        <f>"1"</f>
        <v>1</v>
      </c>
      <c r="H241" s="1" t="str">
        <f>"Результат"</f>
        <v>Результат</v>
      </c>
      <c r="I241" s="1" t="str">
        <f>"Мотивована відмова"</f>
        <v>Мотивована відмова</v>
      </c>
      <c r="J241" s="1" t="str">
        <f>"Так"</f>
        <v>Так</v>
      </c>
    </row>
    <row r="242" spans="1:10" ht="45" x14ac:dyDescent="0.25">
      <c r="A242" s="1" t="str">
        <f>"220-2020/27"</f>
        <v>220-2020/27</v>
      </c>
      <c r="B242" s="1" t="str">
        <f t="shared" si="36"/>
        <v>15.01.2020</v>
      </c>
      <c r="C242" s="1" t="str">
        <f t="shared" si="32"/>
        <v>Закрито</v>
      </c>
      <c r="D242" s="1" t="str">
        <f>"Реєстрація місця проживання особи"</f>
        <v>Реєстрація місця проживання особи</v>
      </c>
      <c r="E242" s="1" t="str">
        <f>"Реєстрація місця проживання"</f>
        <v>Реєстрація місця проживання</v>
      </c>
      <c r="F242" s="1" t="str">
        <f>"Відділ реєстрації Новокаховської міської ради"</f>
        <v>Відділ реєстрації Новокаховської міської ради</v>
      </c>
      <c r="G242" s="1" t="str">
        <f>"1"</f>
        <v>1</v>
      </c>
      <c r="H242" s="1" t="str">
        <f>"Результат"</f>
        <v>Результат</v>
      </c>
      <c r="I242" s="1" t="str">
        <f>"Позитивний"</f>
        <v>Позитивний</v>
      </c>
      <c r="J242" s="1" t="str">
        <f>"Так"</f>
        <v>Так</v>
      </c>
    </row>
    <row r="243" spans="1:10" ht="90" x14ac:dyDescent="0.25">
      <c r="A243" s="1" t="str">
        <f>"224-2020/27"</f>
        <v>224-2020/27</v>
      </c>
      <c r="B243" s="1" t="str">
        <f t="shared" si="36"/>
        <v>15.01.2020</v>
      </c>
      <c r="C243" s="1" t="str">
        <f t="shared" si="32"/>
        <v>Закрито</v>
      </c>
      <c r="D24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3" s="1" t="str">
        <f>"Інші послуги"</f>
        <v>Інші послуги</v>
      </c>
      <c r="F24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3" s="1" t="str">
        <f>"5"</f>
        <v>5</v>
      </c>
      <c r="H243" s="1" t="str">
        <f>"Результат"</f>
        <v>Результат</v>
      </c>
      <c r="I243" s="1" t="str">
        <f>"Мотивована відмова"</f>
        <v>Мотивована відмова</v>
      </c>
      <c r="J243" s="1" t="str">
        <f>"Ні"</f>
        <v>Ні</v>
      </c>
    </row>
    <row r="244" spans="1:10" ht="45" x14ac:dyDescent="0.25">
      <c r="A244" s="1" t="str">
        <f>"222-2020/27"</f>
        <v>222-2020/27</v>
      </c>
      <c r="B244" s="1" t="str">
        <f t="shared" si="36"/>
        <v>15.01.2020</v>
      </c>
      <c r="C244" s="1" t="str">
        <f t="shared" si="32"/>
        <v>Закрито</v>
      </c>
      <c r="D244" s="1" t="str">
        <f>"Зняття з реєстрації місця проживання"</f>
        <v>Зняття з реєстрації місця проживання</v>
      </c>
      <c r="E244" s="1" t="str">
        <f>"Реєстрація місця проживання"</f>
        <v>Реєстрація місця проживання</v>
      </c>
      <c r="F244" s="1" t="str">
        <f>"Відділ реєстрації Новокаховської міської ради"</f>
        <v>Відділ реєстрації Новокаховської міської ради</v>
      </c>
      <c r="G244" s="1" t="str">
        <f>"1"</f>
        <v>1</v>
      </c>
      <c r="H244" s="1" t="str">
        <f>"Результат"</f>
        <v>Результат</v>
      </c>
      <c r="I244" s="1" t="str">
        <f t="shared" ref="I244:I263" si="41">"Позитивний"</f>
        <v>Позитивний</v>
      </c>
      <c r="J244" s="1" t="str">
        <f>"Так"</f>
        <v>Так</v>
      </c>
    </row>
    <row r="245" spans="1:10" ht="135" x14ac:dyDescent="0.25">
      <c r="A245" s="1" t="str">
        <f>"219-2020/27"</f>
        <v>219-2020/27</v>
      </c>
      <c r="B245" s="1" t="str">
        <f t="shared" si="36"/>
        <v>15.01.2020</v>
      </c>
      <c r="C245" s="1" t="str">
        <f t="shared" si="32"/>
        <v>Закрито</v>
      </c>
      <c r="D2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5" s="1" t="str">
        <f>"Земельні питання"</f>
        <v>Земельні питання</v>
      </c>
      <c r="F2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5" s="1" t="str">
        <f>"3"</f>
        <v>3</v>
      </c>
      <c r="H245" s="1" t="str">
        <f>"Результат"</f>
        <v>Результат</v>
      </c>
      <c r="I245" s="1" t="str">
        <f t="shared" si="41"/>
        <v>Позитивний</v>
      </c>
      <c r="J245" s="1" t="str">
        <f>"Ні"</f>
        <v>Ні</v>
      </c>
    </row>
    <row r="246" spans="1:10" ht="105" x14ac:dyDescent="0.25">
      <c r="A246" s="1" t="str">
        <f>"241-2020/27"</f>
        <v>241-2020/27</v>
      </c>
      <c r="B246" s="1" t="str">
        <f t="shared" si="36"/>
        <v>15.01.2020</v>
      </c>
      <c r="C246" s="1" t="str">
        <f t="shared" si="32"/>
        <v>Закрито</v>
      </c>
      <c r="D24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6" s="1" t="str">
        <f>"Земельні питання"</f>
        <v>Земельні питання</v>
      </c>
      <c r="F24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46" s="1" t="str">
        <f>"1"</f>
        <v>1</v>
      </c>
      <c r="H246" s="1" t="str">
        <f>"Результат"</f>
        <v>Результат</v>
      </c>
      <c r="I246" s="1" t="str">
        <f t="shared" si="41"/>
        <v>Позитивний</v>
      </c>
      <c r="J246" s="1" t="str">
        <f>"Ні"</f>
        <v>Ні</v>
      </c>
    </row>
    <row r="247" spans="1:10" ht="45" x14ac:dyDescent="0.25">
      <c r="A247" s="1" t="str">
        <f>"215-2020/27"</f>
        <v>215-2020/27</v>
      </c>
      <c r="B247" s="1" t="str">
        <f t="shared" si="36"/>
        <v>15.01.2020</v>
      </c>
      <c r="C247" s="1" t="str">
        <f t="shared" si="32"/>
        <v>Закрито</v>
      </c>
      <c r="D247" s="1" t="str">
        <f>"Зняття з реєстрації місця проживання"</f>
        <v>Зняття з реєстрації місця проживання</v>
      </c>
      <c r="E247" s="1" t="str">
        <f>"Реєстрація місця проживання"</f>
        <v>Реєстрація місця проживання</v>
      </c>
      <c r="F247" s="1" t="str">
        <f>"Відділ реєстрації Новокаховської міської ради"</f>
        <v>Відділ реєстрації Новокаховської міської ради</v>
      </c>
      <c r="G247" s="1" t="str">
        <f>"1"</f>
        <v>1</v>
      </c>
      <c r="H247" s="1" t="str">
        <f>"Результат"</f>
        <v>Результат</v>
      </c>
      <c r="I247" s="1" t="str">
        <f t="shared" si="41"/>
        <v>Позитивний</v>
      </c>
      <c r="J247" s="1" t="str">
        <f>"Так"</f>
        <v>Так</v>
      </c>
    </row>
    <row r="248" spans="1:10" ht="45" x14ac:dyDescent="0.25">
      <c r="A248" s="1" t="str">
        <f>"221-2020/27"</f>
        <v>221-2020/27</v>
      </c>
      <c r="B248" s="1" t="str">
        <f t="shared" si="36"/>
        <v>15.01.2020</v>
      </c>
      <c r="C248" s="1" t="str">
        <f t="shared" si="32"/>
        <v>Закрито</v>
      </c>
      <c r="D248" s="1" t="str">
        <f>"Зняття з реєстрації місця проживання"</f>
        <v>Зняття з реєстрації місця проживання</v>
      </c>
      <c r="E248" s="1" t="str">
        <f>"Реєстрація місця проживання"</f>
        <v>Реєстрація місця проживання</v>
      </c>
      <c r="F248" s="1" t="str">
        <f>"Відділ реєстрації Новокаховської міської ради"</f>
        <v>Відділ реєстрації Новокаховської міської ради</v>
      </c>
      <c r="G248" s="1" t="str">
        <f>"1"</f>
        <v>1</v>
      </c>
      <c r="H248" s="1" t="str">
        <f>"Результат"</f>
        <v>Результат</v>
      </c>
      <c r="I248" s="1" t="str">
        <f t="shared" si="41"/>
        <v>Позитивний</v>
      </c>
      <c r="J248" s="1" t="str">
        <f>"Так"</f>
        <v>Так</v>
      </c>
    </row>
    <row r="249" spans="1:10" ht="135" x14ac:dyDescent="0.25">
      <c r="A249" s="1" t="str">
        <f>"247-2020/27"</f>
        <v>247-2020/27</v>
      </c>
      <c r="B249" s="1" t="str">
        <f t="shared" si="36"/>
        <v>15.01.2020</v>
      </c>
      <c r="C249" s="1" t="str">
        <f t="shared" si="32"/>
        <v>Закрито</v>
      </c>
      <c r="D24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49" s="1" t="str">
        <f>"Земельні питання"</f>
        <v>Земельні питання</v>
      </c>
      <c r="F2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9" s="1" t="str">
        <f>"14"</f>
        <v>14</v>
      </c>
      <c r="H249" s="1" t="str">
        <f>"Результат"</f>
        <v>Результат</v>
      </c>
      <c r="I249" s="1" t="str">
        <f t="shared" si="41"/>
        <v>Позитивний</v>
      </c>
      <c r="J249" s="1" t="str">
        <f>"Ні"</f>
        <v>Ні</v>
      </c>
    </row>
    <row r="250" spans="1:10" ht="45" x14ac:dyDescent="0.25">
      <c r="A250" s="1" t="str">
        <f>"226-2020/27"</f>
        <v>226-2020/27</v>
      </c>
      <c r="B250" s="1" t="str">
        <f t="shared" si="36"/>
        <v>15.01.2020</v>
      </c>
      <c r="C250" s="1" t="str">
        <f t="shared" si="32"/>
        <v>Закрито</v>
      </c>
      <c r="D250" s="1" t="str">
        <f>"Зняття з реєстрації місця проживання"</f>
        <v>Зняття з реєстрації місця проживання</v>
      </c>
      <c r="E250" s="1" t="str">
        <f>"Реєстрація місця проживання"</f>
        <v>Реєстрація місця проживання</v>
      </c>
      <c r="F250" s="1" t="str">
        <f>"Відділ реєстрації Новокаховської міської ради"</f>
        <v>Відділ реєстрації Новокаховської міської ради</v>
      </c>
      <c r="G250" s="1" t="str">
        <f>"1"</f>
        <v>1</v>
      </c>
      <c r="H250" s="1" t="str">
        <f>"Результат"</f>
        <v>Результат</v>
      </c>
      <c r="I250" s="1" t="str">
        <f t="shared" si="41"/>
        <v>Позитивний</v>
      </c>
      <c r="J250" s="1" t="str">
        <f>"Так"</f>
        <v>Так</v>
      </c>
    </row>
    <row r="251" spans="1:10" ht="45" x14ac:dyDescent="0.25">
      <c r="A251" s="1" t="str">
        <f>"236-2020/27"</f>
        <v>236-2020/27</v>
      </c>
      <c r="B251" s="1" t="str">
        <f t="shared" si="36"/>
        <v>15.01.2020</v>
      </c>
      <c r="C251" s="1" t="str">
        <f t="shared" si="32"/>
        <v>Закрито</v>
      </c>
      <c r="D251" s="1" t="str">
        <f>"Реєстрація місця проживання особи"</f>
        <v>Реєстрація місця проживання особи</v>
      </c>
      <c r="E251" s="1" t="str">
        <f>"Реєстрація місця проживання"</f>
        <v>Реєстрація місця проживання</v>
      </c>
      <c r="F251" s="1" t="str">
        <f>"Відділ реєстрації Новокаховської міської ради"</f>
        <v>Відділ реєстрації Новокаховської міської ради</v>
      </c>
      <c r="G251" s="1" t="str">
        <f>"1"</f>
        <v>1</v>
      </c>
      <c r="H251" s="1" t="str">
        <f>"Результат"</f>
        <v>Результат</v>
      </c>
      <c r="I251" s="1" t="str">
        <f t="shared" si="41"/>
        <v>Позитивний</v>
      </c>
      <c r="J251" s="1" t="str">
        <f>"Так"</f>
        <v>Так</v>
      </c>
    </row>
    <row r="252" spans="1:10" ht="45" x14ac:dyDescent="0.25">
      <c r="A252" s="1" t="str">
        <f>"218-2020/27"</f>
        <v>218-2020/27</v>
      </c>
      <c r="B252" s="1" t="str">
        <f t="shared" si="36"/>
        <v>15.01.2020</v>
      </c>
      <c r="C252" s="1" t="str">
        <f t="shared" si="32"/>
        <v>Закрито</v>
      </c>
      <c r="D252" s="1" t="str">
        <f>"Реєстрація місця проживання особи"</f>
        <v>Реєстрація місця проживання особи</v>
      </c>
      <c r="E252" s="1" t="str">
        <f>"Реєстрація місця проживання"</f>
        <v>Реєстрація місця проживання</v>
      </c>
      <c r="F252" s="1" t="str">
        <f>"Відділ реєстрації Новокаховської міської ради"</f>
        <v>Відділ реєстрації Новокаховської міської ради</v>
      </c>
      <c r="G252" s="1" t="str">
        <f>"1"</f>
        <v>1</v>
      </c>
      <c r="H252" s="1" t="str">
        <f>"Результат"</f>
        <v>Результат</v>
      </c>
      <c r="I252" s="1" t="str">
        <f t="shared" si="41"/>
        <v>Позитивний</v>
      </c>
      <c r="J252" s="1" t="str">
        <f>"Так"</f>
        <v>Так</v>
      </c>
    </row>
    <row r="253" spans="1:10" ht="45" x14ac:dyDescent="0.25">
      <c r="A253" s="1" t="str">
        <f>"242-2020/27"</f>
        <v>242-2020/27</v>
      </c>
      <c r="B253" s="1" t="str">
        <f t="shared" si="36"/>
        <v>15.01.2020</v>
      </c>
      <c r="C253" s="1" t="str">
        <f t="shared" si="32"/>
        <v>Закрито</v>
      </c>
      <c r="D253" s="1" t="str">
        <f>"Зняття з реєстрації місця проживання"</f>
        <v>Зняття з реєстрації місця проживання</v>
      </c>
      <c r="E253" s="1" t="str">
        <f>"Реєстрація місця проживання"</f>
        <v>Реєстрація місця проживання</v>
      </c>
      <c r="F253" s="1" t="str">
        <f>"Відділ реєстрації Новокаховської міської ради"</f>
        <v>Відділ реєстрації Новокаховської міської ради</v>
      </c>
      <c r="G253" s="1" t="str">
        <f>"1"</f>
        <v>1</v>
      </c>
      <c r="H253" s="1" t="str">
        <f>"Результат"</f>
        <v>Результат</v>
      </c>
      <c r="I253" s="1" t="str">
        <f t="shared" si="41"/>
        <v>Позитивний</v>
      </c>
      <c r="J253" s="1" t="str">
        <f>"Так"</f>
        <v>Так</v>
      </c>
    </row>
    <row r="254" spans="1:10" ht="90" x14ac:dyDescent="0.25">
      <c r="A254" s="1" t="str">
        <f>"237-2020/27"</f>
        <v>237-2020/27</v>
      </c>
      <c r="B254" s="1" t="str">
        <f t="shared" si="36"/>
        <v>15.01.2020</v>
      </c>
      <c r="C254" s="1" t="str">
        <f t="shared" si="32"/>
        <v>Закрито</v>
      </c>
      <c r="D25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4" s="1" t="str">
        <f>"Інші послуги"</f>
        <v>Інші послуги</v>
      </c>
      <c r="F25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4" s="1" t="str">
        <f>"5"</f>
        <v>5</v>
      </c>
      <c r="H254" s="1" t="str">
        <f>"Результат"</f>
        <v>Результат</v>
      </c>
      <c r="I254" s="1" t="str">
        <f t="shared" si="41"/>
        <v>Позитивний</v>
      </c>
      <c r="J254" s="1" t="str">
        <f>"Ні"</f>
        <v>Ні</v>
      </c>
    </row>
    <row r="255" spans="1:10" ht="135" x14ac:dyDescent="0.25">
      <c r="A255" s="1" t="str">
        <f>"264-2020/27"</f>
        <v>264-2020/27</v>
      </c>
      <c r="B255" s="1" t="str">
        <f t="shared" ref="B255:B294" si="42">"16.01.2020"</f>
        <v>16.01.2020</v>
      </c>
      <c r="C255" s="1" t="str">
        <f t="shared" si="32"/>
        <v>Закрито</v>
      </c>
      <c r="D25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5" s="1" t="str">
        <f>"Земельні питання"</f>
        <v>Земельні питання</v>
      </c>
      <c r="F2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5" s="1" t="str">
        <f>"3"</f>
        <v>3</v>
      </c>
      <c r="H255" s="1" t="str">
        <f>"Результат"</f>
        <v>Результат</v>
      </c>
      <c r="I255" s="1" t="str">
        <f t="shared" si="41"/>
        <v>Позитивний</v>
      </c>
      <c r="J255" s="1" t="str">
        <f>"Ні"</f>
        <v>Ні</v>
      </c>
    </row>
    <row r="256" spans="1:10" ht="45" x14ac:dyDescent="0.25">
      <c r="A256" s="1" t="str">
        <f>"253-2020/27"</f>
        <v>253-2020/27</v>
      </c>
      <c r="B256" s="1" t="str">
        <f t="shared" si="42"/>
        <v>16.01.2020</v>
      </c>
      <c r="C256" s="1" t="str">
        <f t="shared" si="32"/>
        <v>Закрито</v>
      </c>
      <c r="D256" s="1" t="str">
        <f>"Реєстрація місця проживання особи"</f>
        <v>Реєстрація місця проживання особи</v>
      </c>
      <c r="E256" s="1" t="str">
        <f>"Реєстрація місця проживання"</f>
        <v>Реєстрація місця проживання</v>
      </c>
      <c r="F256" s="1" t="str">
        <f>"Відділ реєстрації Новокаховської міської ради"</f>
        <v>Відділ реєстрації Новокаховської міської ради</v>
      </c>
      <c r="G256" s="1" t="str">
        <f>"1"</f>
        <v>1</v>
      </c>
      <c r="H256" s="1" t="str">
        <f>"Результат"</f>
        <v>Результат</v>
      </c>
      <c r="I256" s="1" t="str">
        <f t="shared" si="41"/>
        <v>Позитивний</v>
      </c>
      <c r="J256" s="1" t="str">
        <f>"Так"</f>
        <v>Так</v>
      </c>
    </row>
    <row r="257" spans="1:10" ht="135" x14ac:dyDescent="0.25">
      <c r="A257" s="1" t="str">
        <f>"266-2020/27"</f>
        <v>266-2020/27</v>
      </c>
      <c r="B257" s="1" t="str">
        <f t="shared" si="42"/>
        <v>16.01.2020</v>
      </c>
      <c r="C257" s="1" t="str">
        <f t="shared" si="32"/>
        <v>Закрито</v>
      </c>
      <c r="D2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7" s="1" t="str">
        <f>"Земельні питання"</f>
        <v>Земельні питання</v>
      </c>
      <c r="F2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7" s="1" t="str">
        <f>"3"</f>
        <v>3</v>
      </c>
      <c r="H257" s="1" t="str">
        <f>"Результат"</f>
        <v>Результат</v>
      </c>
      <c r="I257" s="1" t="str">
        <f t="shared" si="41"/>
        <v>Позитивний</v>
      </c>
      <c r="J257" s="1" t="str">
        <f>"Ні"</f>
        <v>Ні</v>
      </c>
    </row>
    <row r="258" spans="1:10" ht="135" x14ac:dyDescent="0.25">
      <c r="A258" s="1" t="str">
        <f>"263-2020/27"</f>
        <v>263-2020/27</v>
      </c>
      <c r="B258" s="1" t="str">
        <f t="shared" si="42"/>
        <v>16.01.2020</v>
      </c>
      <c r="C258" s="1" t="str">
        <f t="shared" si="32"/>
        <v>Закрито</v>
      </c>
      <c r="D25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8" s="1" t="str">
        <f>"Земельні питання"</f>
        <v>Земельні питання</v>
      </c>
      <c r="F2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8" s="1" t="str">
        <f>"3"</f>
        <v>3</v>
      </c>
      <c r="H258" s="1" t="str">
        <f>"Результат"</f>
        <v>Результат</v>
      </c>
      <c r="I258" s="1" t="str">
        <f t="shared" si="41"/>
        <v>Позитивний</v>
      </c>
      <c r="J258" s="1" t="str">
        <f>"Ні"</f>
        <v>Ні</v>
      </c>
    </row>
    <row r="259" spans="1:10" ht="45" x14ac:dyDescent="0.25">
      <c r="A259" s="1" t="str">
        <f>"287-2020/27"</f>
        <v>287-2020/27</v>
      </c>
      <c r="B259" s="1" t="str">
        <f t="shared" si="42"/>
        <v>16.01.2020</v>
      </c>
      <c r="C259" s="1" t="str">
        <f t="shared" si="32"/>
        <v>Закрито</v>
      </c>
      <c r="D259" s="1" t="str">
        <f>"Реєстрація місця проживання особи"</f>
        <v>Реєстрація місця проживання особи</v>
      </c>
      <c r="E259" s="1" t="str">
        <f>"Реєстрація місця проживання"</f>
        <v>Реєстрація місця проживання</v>
      </c>
      <c r="F259" s="1" t="str">
        <f>"Відділ реєстрації Новокаховської міської ради"</f>
        <v>Відділ реєстрації Новокаховської міської ради</v>
      </c>
      <c r="G259" s="1" t="str">
        <f>"1"</f>
        <v>1</v>
      </c>
      <c r="H259" s="1" t="str">
        <f>"Результат"</f>
        <v>Результат</v>
      </c>
      <c r="I259" s="1" t="str">
        <f t="shared" si="41"/>
        <v>Позитивний</v>
      </c>
      <c r="J259" s="1" t="str">
        <f>"Так"</f>
        <v>Так</v>
      </c>
    </row>
    <row r="260" spans="1:10" ht="45" x14ac:dyDescent="0.25">
      <c r="A260" s="1" t="str">
        <f>"249-2020/27"</f>
        <v>249-2020/27</v>
      </c>
      <c r="B260" s="1" t="str">
        <f t="shared" si="42"/>
        <v>16.01.2020</v>
      </c>
      <c r="C260" s="1" t="str">
        <f t="shared" si="32"/>
        <v>Закрито</v>
      </c>
      <c r="D260" s="1" t="str">
        <f>"Реєстрація місця проживання особи"</f>
        <v>Реєстрація місця проживання особи</v>
      </c>
      <c r="E260" s="1" t="str">
        <f>"Реєстрація місця проживання"</f>
        <v>Реєстрація місця проживання</v>
      </c>
      <c r="F260" s="1" t="str">
        <f>"Відділ реєстрації Новокаховської міської ради"</f>
        <v>Відділ реєстрації Новокаховської міської ради</v>
      </c>
      <c r="G260" s="1" t="str">
        <f>"1"</f>
        <v>1</v>
      </c>
      <c r="H260" s="1" t="str">
        <f>"Результат"</f>
        <v>Результат</v>
      </c>
      <c r="I260" s="1" t="str">
        <f t="shared" si="41"/>
        <v>Позитивний</v>
      </c>
      <c r="J260" s="1" t="str">
        <f>"Так"</f>
        <v>Так</v>
      </c>
    </row>
    <row r="261" spans="1:10" ht="135" x14ac:dyDescent="0.25">
      <c r="A261" s="1" t="str">
        <f>"280-2020/27"</f>
        <v>280-2020/27</v>
      </c>
      <c r="B261" s="1" t="str">
        <f t="shared" si="42"/>
        <v>16.01.2020</v>
      </c>
      <c r="C261" s="1" t="str">
        <f t="shared" ref="C261:C324" si="43">"Закрито"</f>
        <v>Закрито</v>
      </c>
      <c r="D26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1" s="1" t="str">
        <f>"Земельні питання"</f>
        <v>Земельні питання</v>
      </c>
      <c r="F2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1" s="1" t="str">
        <f>"3"</f>
        <v>3</v>
      </c>
      <c r="H261" s="1" t="str">
        <f>"Результат"</f>
        <v>Результат</v>
      </c>
      <c r="I261" s="1" t="str">
        <f t="shared" si="41"/>
        <v>Позитивний</v>
      </c>
      <c r="J261" s="1" t="str">
        <f>"Ні"</f>
        <v>Ні</v>
      </c>
    </row>
    <row r="262" spans="1:10" ht="45" x14ac:dyDescent="0.25">
      <c r="A262" s="1" t="str">
        <f>"269-2020/27"</f>
        <v>269-2020/27</v>
      </c>
      <c r="B262" s="1" t="str">
        <f t="shared" si="42"/>
        <v>16.01.2020</v>
      </c>
      <c r="C262" s="1" t="str">
        <f t="shared" si="43"/>
        <v>Закрито</v>
      </c>
      <c r="D262" s="1" t="str">
        <f>"Реєстрація місця проживання особи"</f>
        <v>Реєстрація місця проживання особи</v>
      </c>
      <c r="E262" s="1" t="str">
        <f>"Реєстрація місця проживання"</f>
        <v>Реєстрація місця проживання</v>
      </c>
      <c r="F262" s="1" t="str">
        <f>"Відділ реєстрації Новокаховської міської ради"</f>
        <v>Відділ реєстрації Новокаховської міської ради</v>
      </c>
      <c r="G262" s="1" t="str">
        <f>"1"</f>
        <v>1</v>
      </c>
      <c r="H262" s="1" t="str">
        <f>"Результат"</f>
        <v>Результат</v>
      </c>
      <c r="I262" s="1" t="str">
        <f t="shared" si="41"/>
        <v>Позитивний</v>
      </c>
      <c r="J262" s="1" t="str">
        <f>"Так"</f>
        <v>Так</v>
      </c>
    </row>
    <row r="263" spans="1:10" ht="135" x14ac:dyDescent="0.25">
      <c r="A263" s="1" t="str">
        <f>"265-2020/27"</f>
        <v>265-2020/27</v>
      </c>
      <c r="B263" s="1" t="str">
        <f t="shared" si="42"/>
        <v>16.01.2020</v>
      </c>
      <c r="C263" s="1" t="str">
        <f t="shared" si="43"/>
        <v>Закрито</v>
      </c>
      <c r="D26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3" s="1" t="str">
        <f>"Земельні питання"</f>
        <v>Земельні питання</v>
      </c>
      <c r="F2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3" s="1" t="str">
        <f>"3"</f>
        <v>3</v>
      </c>
      <c r="H263" s="1" t="str">
        <f>"Результат"</f>
        <v>Результат</v>
      </c>
      <c r="I263" s="1" t="str">
        <f t="shared" si="41"/>
        <v>Позитивний</v>
      </c>
      <c r="J263" s="1" t="str">
        <f>"Ні"</f>
        <v>Ні</v>
      </c>
    </row>
    <row r="264" spans="1:10" ht="135" x14ac:dyDescent="0.25">
      <c r="A264" s="1" t="str">
        <f>"273-2020/27"</f>
        <v>273-2020/27</v>
      </c>
      <c r="B264" s="1" t="str">
        <f t="shared" si="42"/>
        <v>16.01.2020</v>
      </c>
      <c r="C264" s="1" t="str">
        <f t="shared" si="43"/>
        <v>Закрито</v>
      </c>
      <c r="D26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4" s="1" t="str">
        <f>"Земельні питання"</f>
        <v>Земельні питання</v>
      </c>
      <c r="F2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4" s="1" t="str">
        <f>"14"</f>
        <v>14</v>
      </c>
      <c r="H264" s="1" t="str">
        <f>"Результат"</f>
        <v>Результат</v>
      </c>
      <c r="I264" s="1" t="str">
        <f>"Мотивована відмова"</f>
        <v>Мотивована відмова</v>
      </c>
      <c r="J264" s="1" t="str">
        <f>"Ні"</f>
        <v>Ні</v>
      </c>
    </row>
    <row r="265" spans="1:10" ht="135" x14ac:dyDescent="0.25">
      <c r="A265" s="1" t="str">
        <f>"271-2020/27"</f>
        <v>271-2020/27</v>
      </c>
      <c r="B265" s="1" t="str">
        <f t="shared" si="42"/>
        <v>16.01.2020</v>
      </c>
      <c r="C265" s="1" t="str">
        <f t="shared" si="43"/>
        <v>Закрито</v>
      </c>
      <c r="D26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5" s="1" t="str">
        <f>"Земельні питання"</f>
        <v>Земельні питання</v>
      </c>
      <c r="F2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5" s="1" t="str">
        <f>"3"</f>
        <v>3</v>
      </c>
      <c r="H265" s="1" t="str">
        <f>"Результат"</f>
        <v>Результат</v>
      </c>
      <c r="I265" s="1" t="str">
        <f t="shared" ref="I265:I299" si="44">"Позитивний"</f>
        <v>Позитивний</v>
      </c>
      <c r="J265" s="1" t="str">
        <f>"Ні"</f>
        <v>Ні</v>
      </c>
    </row>
    <row r="266" spans="1:10" ht="45" x14ac:dyDescent="0.25">
      <c r="A266" s="1" t="str">
        <f>"284-2020/27"</f>
        <v>284-2020/27</v>
      </c>
      <c r="B266" s="1" t="str">
        <f t="shared" si="42"/>
        <v>16.01.2020</v>
      </c>
      <c r="C266" s="1" t="str">
        <f t="shared" si="43"/>
        <v>Закрито</v>
      </c>
      <c r="D266" s="1" t="str">
        <f>"Реєстрація місця проживання особи"</f>
        <v>Реєстрація місця проживання особи</v>
      </c>
      <c r="E266" s="1" t="str">
        <f>"Реєстрація місця проживання"</f>
        <v>Реєстрація місця проживання</v>
      </c>
      <c r="F266" s="1" t="str">
        <f>"Відділ реєстрації Новокаховської міської ради"</f>
        <v>Відділ реєстрації Новокаховської міської ради</v>
      </c>
      <c r="G266" s="1" t="str">
        <f>"1"</f>
        <v>1</v>
      </c>
      <c r="H266" s="1" t="str">
        <f>"Результат"</f>
        <v>Результат</v>
      </c>
      <c r="I266" s="1" t="str">
        <f t="shared" si="44"/>
        <v>Позитивний</v>
      </c>
      <c r="J266" s="1" t="str">
        <f>"Так"</f>
        <v>Так</v>
      </c>
    </row>
    <row r="267" spans="1:10" ht="90" x14ac:dyDescent="0.25">
      <c r="A267" s="1" t="str">
        <f>"288-2020/27"</f>
        <v>288-2020/27</v>
      </c>
      <c r="B267" s="1" t="str">
        <f t="shared" si="42"/>
        <v>16.01.2020</v>
      </c>
      <c r="C267" s="1" t="str">
        <f t="shared" si="43"/>
        <v>Закрито</v>
      </c>
      <c r="D26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7" s="1" t="str">
        <f>"Інші послуги"</f>
        <v>Інші послуги</v>
      </c>
      <c r="F26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7" s="1" t="str">
        <f>"5"</f>
        <v>5</v>
      </c>
      <c r="H267" s="1" t="str">
        <f>"Результат"</f>
        <v>Результат</v>
      </c>
      <c r="I267" s="1" t="str">
        <f t="shared" si="44"/>
        <v>Позитивний</v>
      </c>
      <c r="J267" s="1" t="str">
        <f>"Ні"</f>
        <v>Ні</v>
      </c>
    </row>
    <row r="268" spans="1:10" ht="120" x14ac:dyDescent="0.25">
      <c r="A268" s="1" t="str">
        <f>"259-2020/27"</f>
        <v>259-2020/27</v>
      </c>
      <c r="B268" s="1" t="str">
        <f t="shared" si="42"/>
        <v>16.01.2020</v>
      </c>
      <c r="C268" s="1" t="str">
        <f t="shared" si="43"/>
        <v>Закрито</v>
      </c>
      <c r="D268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68" s="1" t="str">
        <f>"Будівництво"</f>
        <v>Будівництво</v>
      </c>
      <c r="F26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68" s="1" t="str">
        <f>"10"</f>
        <v>10</v>
      </c>
      <c r="H268" s="1" t="str">
        <f>"Результат"</f>
        <v>Результат</v>
      </c>
      <c r="I268" s="1" t="str">
        <f t="shared" si="44"/>
        <v>Позитивний</v>
      </c>
      <c r="J268" s="1" t="str">
        <f>"Ні"</f>
        <v>Ні</v>
      </c>
    </row>
    <row r="269" spans="1:10" ht="135" x14ac:dyDescent="0.25">
      <c r="A269" s="1" t="str">
        <f>"279-2020/27"</f>
        <v>279-2020/27</v>
      </c>
      <c r="B269" s="1" t="str">
        <f t="shared" si="42"/>
        <v>16.01.2020</v>
      </c>
      <c r="C269" s="1" t="str">
        <f t="shared" si="43"/>
        <v>Закрито</v>
      </c>
      <c r="D2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9" s="1" t="str">
        <f>"Земельні питання"</f>
        <v>Земельні питання</v>
      </c>
      <c r="F2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9" s="1" t="str">
        <f>"3"</f>
        <v>3</v>
      </c>
      <c r="H269" s="1" t="str">
        <f>"Результат"</f>
        <v>Результат</v>
      </c>
      <c r="I269" s="1" t="str">
        <f t="shared" si="44"/>
        <v>Позитивний</v>
      </c>
      <c r="J269" s="1" t="str">
        <f>"Ні"</f>
        <v>Ні</v>
      </c>
    </row>
    <row r="270" spans="1:10" ht="135" x14ac:dyDescent="0.25">
      <c r="A270" s="1" t="str">
        <f>"262-2020/27"</f>
        <v>262-2020/27</v>
      </c>
      <c r="B270" s="1" t="str">
        <f t="shared" si="42"/>
        <v>16.01.2020</v>
      </c>
      <c r="C270" s="1" t="str">
        <f t="shared" si="43"/>
        <v>Закрито</v>
      </c>
      <c r="D2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0" s="1" t="str">
        <f>"Земельні питання"</f>
        <v>Земельні питання</v>
      </c>
      <c r="F2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0" s="1" t="str">
        <f t="shared" ref="G270:G276" si="45">"1"</f>
        <v>1</v>
      </c>
      <c r="H270" s="1" t="str">
        <f>"Результат"</f>
        <v>Результат</v>
      </c>
      <c r="I270" s="1" t="str">
        <f t="shared" si="44"/>
        <v>Позитивний</v>
      </c>
      <c r="J270" s="1" t="str">
        <f t="shared" ref="J270:J276" si="46">"Так"</f>
        <v>Так</v>
      </c>
    </row>
    <row r="271" spans="1:10" ht="45" x14ac:dyDescent="0.25">
      <c r="A271" s="1" t="str">
        <f>"257-2020/27"</f>
        <v>257-2020/27</v>
      </c>
      <c r="B271" s="1" t="str">
        <f t="shared" si="42"/>
        <v>16.01.2020</v>
      </c>
      <c r="C271" s="1" t="str">
        <f t="shared" si="43"/>
        <v>Закрито</v>
      </c>
      <c r="D271" s="1" t="str">
        <f>"Реєстрація місця проживання особи"</f>
        <v>Реєстрація місця проживання особи</v>
      </c>
      <c r="E271" s="1" t="str">
        <f>"Реєстрація місця проживання"</f>
        <v>Реєстрація місця проживання</v>
      </c>
      <c r="F271" s="1" t="str">
        <f>"Відділ реєстрації Новокаховської міської ради"</f>
        <v>Відділ реєстрації Новокаховської міської ради</v>
      </c>
      <c r="G271" s="1" t="str">
        <f t="shared" si="45"/>
        <v>1</v>
      </c>
      <c r="H271" s="1" t="str">
        <f>"Результат"</f>
        <v>Результат</v>
      </c>
      <c r="I271" s="1" t="str">
        <f t="shared" si="44"/>
        <v>Позитивний</v>
      </c>
      <c r="J271" s="1" t="str">
        <f t="shared" si="46"/>
        <v>Так</v>
      </c>
    </row>
    <row r="272" spans="1:10" ht="45" x14ac:dyDescent="0.25">
      <c r="A272" s="1" t="str">
        <f>"286-2020/27"</f>
        <v>286-2020/27</v>
      </c>
      <c r="B272" s="1" t="str">
        <f t="shared" si="42"/>
        <v>16.01.2020</v>
      </c>
      <c r="C272" s="1" t="str">
        <f t="shared" si="43"/>
        <v>Закрито</v>
      </c>
      <c r="D272" s="1" t="str">
        <f>"Реєстрація місця проживання особи"</f>
        <v>Реєстрація місця проживання особи</v>
      </c>
      <c r="E272" s="1" t="str">
        <f>"Реєстрація місця проживання"</f>
        <v>Реєстрація місця проживання</v>
      </c>
      <c r="F272" s="1" t="str">
        <f>"Відділ реєстрації Новокаховської міської ради"</f>
        <v>Відділ реєстрації Новокаховської міської ради</v>
      </c>
      <c r="G272" s="1" t="str">
        <f t="shared" si="45"/>
        <v>1</v>
      </c>
      <c r="H272" s="1" t="str">
        <f>"Результат"</f>
        <v>Результат</v>
      </c>
      <c r="I272" s="1" t="str">
        <f t="shared" si="44"/>
        <v>Позитивний</v>
      </c>
      <c r="J272" s="1" t="str">
        <f t="shared" si="46"/>
        <v>Так</v>
      </c>
    </row>
    <row r="273" spans="1:10" ht="45" x14ac:dyDescent="0.25">
      <c r="A273" s="1" t="str">
        <f>"254-2020/27"</f>
        <v>254-2020/27</v>
      </c>
      <c r="B273" s="1" t="str">
        <f t="shared" si="42"/>
        <v>16.01.2020</v>
      </c>
      <c r="C273" s="1" t="str">
        <f t="shared" si="43"/>
        <v>Закрито</v>
      </c>
      <c r="D273" s="1" t="str">
        <f>"Зняття з реєстрації місця проживання"</f>
        <v>Зняття з реєстрації місця проживання</v>
      </c>
      <c r="E273" s="1" t="str">
        <f>"Реєстрація місця проживання"</f>
        <v>Реєстрація місця проживання</v>
      </c>
      <c r="F273" s="1" t="str">
        <f>"Відділ реєстрації Новокаховської міської ради"</f>
        <v>Відділ реєстрації Новокаховської міської ради</v>
      </c>
      <c r="G273" s="1" t="str">
        <f t="shared" si="45"/>
        <v>1</v>
      </c>
      <c r="H273" s="1" t="str">
        <f>"Результат"</f>
        <v>Результат</v>
      </c>
      <c r="I273" s="1" t="str">
        <f t="shared" si="44"/>
        <v>Позитивний</v>
      </c>
      <c r="J273" s="1" t="str">
        <f t="shared" si="46"/>
        <v>Так</v>
      </c>
    </row>
    <row r="274" spans="1:10" ht="105" x14ac:dyDescent="0.25">
      <c r="A274" s="1" t="str">
        <f>"255-2020/27"</f>
        <v>255-2020/27</v>
      </c>
      <c r="B274" s="1" t="str">
        <f t="shared" si="42"/>
        <v>16.01.2020</v>
      </c>
      <c r="C274" s="1" t="str">
        <f t="shared" si="43"/>
        <v>Закрито</v>
      </c>
      <c r="D27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4" s="1" t="str">
        <f>"Земельні питання"</f>
        <v>Земельні питання</v>
      </c>
      <c r="F27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4" s="1" t="str">
        <f t="shared" si="45"/>
        <v>1</v>
      </c>
      <c r="H274" s="1" t="str">
        <f>"Результат"</f>
        <v>Результат</v>
      </c>
      <c r="I274" s="1" t="str">
        <f t="shared" si="44"/>
        <v>Позитивний</v>
      </c>
      <c r="J274" s="1" t="str">
        <f t="shared" si="46"/>
        <v>Так</v>
      </c>
    </row>
    <row r="275" spans="1:10" ht="45" x14ac:dyDescent="0.25">
      <c r="A275" s="1" t="str">
        <f>"283-2020/27"</f>
        <v>283-2020/27</v>
      </c>
      <c r="B275" s="1" t="str">
        <f t="shared" si="42"/>
        <v>16.01.2020</v>
      </c>
      <c r="C275" s="1" t="str">
        <f t="shared" si="43"/>
        <v>Закрито</v>
      </c>
      <c r="D275" s="1" t="str">
        <f>"Реєстрація місця проживання особи"</f>
        <v>Реєстрація місця проживання особи</v>
      </c>
      <c r="E275" s="1" t="str">
        <f>"Реєстрація місця проживання"</f>
        <v>Реєстрація місця проживання</v>
      </c>
      <c r="F275" s="1" t="str">
        <f>"Відділ реєстрації Новокаховської міської ради"</f>
        <v>Відділ реєстрації Новокаховської міської ради</v>
      </c>
      <c r="G275" s="1" t="str">
        <f t="shared" si="45"/>
        <v>1</v>
      </c>
      <c r="H275" s="1" t="str">
        <f>"Результат"</f>
        <v>Результат</v>
      </c>
      <c r="I275" s="1" t="str">
        <f t="shared" si="44"/>
        <v>Позитивний</v>
      </c>
      <c r="J275" s="1" t="str">
        <f t="shared" si="46"/>
        <v>Так</v>
      </c>
    </row>
    <row r="276" spans="1:10" ht="45" x14ac:dyDescent="0.25">
      <c r="A276" s="1" t="str">
        <f>"258-2020/27"</f>
        <v>258-2020/27</v>
      </c>
      <c r="B276" s="1" t="str">
        <f t="shared" si="42"/>
        <v>16.01.2020</v>
      </c>
      <c r="C276" s="1" t="str">
        <f t="shared" si="43"/>
        <v>Закрито</v>
      </c>
      <c r="D276" s="1" t="str">
        <f>"Реєстрація місця проживання особи"</f>
        <v>Реєстрація місця проживання особи</v>
      </c>
      <c r="E276" s="1" t="str">
        <f>"Реєстрація місця проживання"</f>
        <v>Реєстрація місця проживання</v>
      </c>
      <c r="F276" s="1" t="str">
        <f>"Відділ реєстрації Новокаховської міської ради"</f>
        <v>Відділ реєстрації Новокаховської міської ради</v>
      </c>
      <c r="G276" s="1" t="str">
        <f t="shared" si="45"/>
        <v>1</v>
      </c>
      <c r="H276" s="1" t="str">
        <f>"Результат"</f>
        <v>Результат</v>
      </c>
      <c r="I276" s="1" t="str">
        <f t="shared" si="44"/>
        <v>Позитивний</v>
      </c>
      <c r="J276" s="1" t="str">
        <f t="shared" si="46"/>
        <v>Так</v>
      </c>
    </row>
    <row r="277" spans="1:10" ht="135" x14ac:dyDescent="0.25">
      <c r="A277" s="1" t="str">
        <f>"278-2020/27"</f>
        <v>278-2020/27</v>
      </c>
      <c r="B277" s="1" t="str">
        <f t="shared" si="42"/>
        <v>16.01.2020</v>
      </c>
      <c r="C277" s="1" t="str">
        <f t="shared" si="43"/>
        <v>Закрито</v>
      </c>
      <c r="D27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7" s="1" t="str">
        <f>"Земельні питання"</f>
        <v>Земельні питання</v>
      </c>
      <c r="F2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7" s="1" t="str">
        <f>"14"</f>
        <v>14</v>
      </c>
      <c r="H277" s="1" t="str">
        <f>"Результат"</f>
        <v>Результат</v>
      </c>
      <c r="I277" s="1" t="str">
        <f t="shared" si="44"/>
        <v>Позитивний</v>
      </c>
      <c r="J277" s="1" t="str">
        <f>"Ні"</f>
        <v>Ні</v>
      </c>
    </row>
    <row r="278" spans="1:10" ht="45" x14ac:dyDescent="0.25">
      <c r="A278" s="1" t="str">
        <f>"281-2020/27"</f>
        <v>281-2020/27</v>
      </c>
      <c r="B278" s="1" t="str">
        <f t="shared" si="42"/>
        <v>16.01.2020</v>
      </c>
      <c r="C278" s="1" t="str">
        <f t="shared" si="43"/>
        <v>Закрито</v>
      </c>
      <c r="D278" s="1" t="str">
        <f>"Реєстрація місця проживання особи"</f>
        <v>Реєстрація місця проживання особи</v>
      </c>
      <c r="E278" s="1" t="str">
        <f>"Реєстрація місця проживання"</f>
        <v>Реєстрація місця проживання</v>
      </c>
      <c r="F278" s="1" t="str">
        <f>"Відділ реєстрації Новокаховської міської ради"</f>
        <v>Відділ реєстрації Новокаховської міської ради</v>
      </c>
      <c r="G278" s="1" t="str">
        <f>"1"</f>
        <v>1</v>
      </c>
      <c r="H278" s="1" t="str">
        <f>"Результат"</f>
        <v>Результат</v>
      </c>
      <c r="I278" s="1" t="str">
        <f t="shared" si="44"/>
        <v>Позитивний</v>
      </c>
      <c r="J278" s="1" t="str">
        <f>"Так"</f>
        <v>Так</v>
      </c>
    </row>
    <row r="279" spans="1:10" ht="45" x14ac:dyDescent="0.25">
      <c r="A279" s="1" t="str">
        <f>"270-2020/27"</f>
        <v>270-2020/27</v>
      </c>
      <c r="B279" s="1" t="str">
        <f t="shared" si="42"/>
        <v>16.01.2020</v>
      </c>
      <c r="C279" s="1" t="str">
        <f t="shared" si="43"/>
        <v>Закрито</v>
      </c>
      <c r="D279" s="1" t="str">
        <f>"Реєстрація місця проживання особи"</f>
        <v>Реєстрація місця проживання особи</v>
      </c>
      <c r="E279" s="1" t="str">
        <f>"Реєстрація місця проживання"</f>
        <v>Реєстрація місця проживання</v>
      </c>
      <c r="F279" s="1" t="str">
        <f>"Відділ реєстрації Новокаховської міської ради"</f>
        <v>Відділ реєстрації Новокаховської міської ради</v>
      </c>
      <c r="G279" s="1" t="str">
        <f>"1"</f>
        <v>1</v>
      </c>
      <c r="H279" s="1" t="str">
        <f>"Результат"</f>
        <v>Результат</v>
      </c>
      <c r="I279" s="1" t="str">
        <f t="shared" si="44"/>
        <v>Позитивний</v>
      </c>
      <c r="J279" s="1" t="str">
        <f>"Так"</f>
        <v>Так</v>
      </c>
    </row>
    <row r="280" spans="1:10" ht="60" x14ac:dyDescent="0.25">
      <c r="A280" s="1" t="str">
        <f>"274-2020/27"</f>
        <v>274-2020/27</v>
      </c>
      <c r="B280" s="1" t="str">
        <f t="shared" si="42"/>
        <v>16.01.2020</v>
      </c>
      <c r="C280" s="1" t="str">
        <f t="shared" si="43"/>
        <v>Закрито</v>
      </c>
      <c r="D280" s="1" t="str">
        <f>"Державна реєстрація створення громадського об’єднання"</f>
        <v>Державна реєстрація створення громадського об’єднання</v>
      </c>
      <c r="E280" s="1" t="str">
        <f>"Державна реєстрація громадських об’єднань"</f>
        <v>Державна реєстрація громадських об’єднань</v>
      </c>
      <c r="F280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280" s="1" t="str">
        <f>"3"</f>
        <v>3</v>
      </c>
      <c r="H280" s="1" t="str">
        <f>"Результат"</f>
        <v>Результат</v>
      </c>
      <c r="I280" s="1" t="str">
        <f t="shared" si="44"/>
        <v>Позитивний</v>
      </c>
      <c r="J280" s="1" t="str">
        <f>"Ні"</f>
        <v>Ні</v>
      </c>
    </row>
    <row r="281" spans="1:10" ht="135" x14ac:dyDescent="0.25">
      <c r="A281" s="1" t="str">
        <f>"252-2020/27"</f>
        <v>252-2020/27</v>
      </c>
      <c r="B281" s="1" t="str">
        <f t="shared" si="42"/>
        <v>16.01.2020</v>
      </c>
      <c r="C281" s="1" t="str">
        <f t="shared" si="43"/>
        <v>Закрито</v>
      </c>
      <c r="D28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1" s="1" t="str">
        <f>"Земельні питання"</f>
        <v>Земельні питання</v>
      </c>
      <c r="F2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1" s="1" t="str">
        <f>"3"</f>
        <v>3</v>
      </c>
      <c r="H281" s="1" t="str">
        <f>"Результат"</f>
        <v>Результат</v>
      </c>
      <c r="I281" s="1" t="str">
        <f t="shared" si="44"/>
        <v>Позитивний</v>
      </c>
      <c r="J281" s="1" t="str">
        <f>"Ні"</f>
        <v>Ні</v>
      </c>
    </row>
    <row r="282" spans="1:10" ht="45" x14ac:dyDescent="0.25">
      <c r="A282" s="1" t="str">
        <f>"285-2020/27"</f>
        <v>285-2020/27</v>
      </c>
      <c r="B282" s="1" t="str">
        <f t="shared" si="42"/>
        <v>16.01.2020</v>
      </c>
      <c r="C282" s="1" t="str">
        <f t="shared" si="43"/>
        <v>Закрито</v>
      </c>
      <c r="D282" s="1" t="str">
        <f>"Реєстрація місця проживання особи"</f>
        <v>Реєстрація місця проживання особи</v>
      </c>
      <c r="E282" s="1" t="str">
        <f>"Реєстрація місця проживання"</f>
        <v>Реєстрація місця проживання</v>
      </c>
      <c r="F282" s="1" t="str">
        <f>"Відділ реєстрації Новокаховської міської ради"</f>
        <v>Відділ реєстрації Новокаховської міської ради</v>
      </c>
      <c r="G282" s="1" t="str">
        <f>"1"</f>
        <v>1</v>
      </c>
      <c r="H282" s="1" t="str">
        <f>"Результат"</f>
        <v>Результат</v>
      </c>
      <c r="I282" s="1" t="str">
        <f t="shared" si="44"/>
        <v>Позитивний</v>
      </c>
      <c r="J282" s="1" t="str">
        <f>"Так"</f>
        <v>Так</v>
      </c>
    </row>
    <row r="283" spans="1:10" ht="135" x14ac:dyDescent="0.25">
      <c r="A283" s="1" t="str">
        <f>"275-2020/27"</f>
        <v>275-2020/27</v>
      </c>
      <c r="B283" s="1" t="str">
        <f t="shared" si="42"/>
        <v>16.01.2020</v>
      </c>
      <c r="C283" s="1" t="str">
        <f t="shared" si="43"/>
        <v>Закрито</v>
      </c>
      <c r="D28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3" s="1" t="str">
        <f>"Земельні питання"</f>
        <v>Земельні питання</v>
      </c>
      <c r="F2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3" s="1" t="str">
        <f>"3"</f>
        <v>3</v>
      </c>
      <c r="H283" s="1" t="str">
        <f>"Результат"</f>
        <v>Результат</v>
      </c>
      <c r="I283" s="1" t="str">
        <f t="shared" si="44"/>
        <v>Позитивний</v>
      </c>
      <c r="J283" s="1" t="str">
        <f>"Ні"</f>
        <v>Ні</v>
      </c>
    </row>
    <row r="284" spans="1:10" ht="135" x14ac:dyDescent="0.25">
      <c r="A284" s="1" t="str">
        <f>"251-2020/27"</f>
        <v>251-2020/27</v>
      </c>
      <c r="B284" s="1" t="str">
        <f t="shared" si="42"/>
        <v>16.01.2020</v>
      </c>
      <c r="C284" s="1" t="str">
        <f t="shared" si="43"/>
        <v>Закрито</v>
      </c>
      <c r="D28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4" s="1" t="str">
        <f>"Земельні питання"</f>
        <v>Земельні питання</v>
      </c>
      <c r="F2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4" s="1" t="str">
        <f>"3"</f>
        <v>3</v>
      </c>
      <c r="H284" s="1" t="str">
        <f>"Результат"</f>
        <v>Результат</v>
      </c>
      <c r="I284" s="1" t="str">
        <f t="shared" si="44"/>
        <v>Позитивний</v>
      </c>
      <c r="J284" s="1" t="str">
        <f>"Ні"</f>
        <v>Ні</v>
      </c>
    </row>
    <row r="285" spans="1:10" ht="45" x14ac:dyDescent="0.25">
      <c r="A285" s="1" t="str">
        <f>"256-2020/27"</f>
        <v>256-2020/27</v>
      </c>
      <c r="B285" s="1" t="str">
        <f t="shared" si="42"/>
        <v>16.01.2020</v>
      </c>
      <c r="C285" s="1" t="str">
        <f t="shared" si="43"/>
        <v>Закрито</v>
      </c>
      <c r="D285" s="1" t="str">
        <f>"Реєстрація місця проживання особи"</f>
        <v>Реєстрація місця проживання особи</v>
      </c>
      <c r="E285" s="1" t="str">
        <f>"Реєстрація місця проживання"</f>
        <v>Реєстрація місця проживання</v>
      </c>
      <c r="F285" s="1" t="str">
        <f>"Відділ реєстрації Новокаховської міської ради"</f>
        <v>Відділ реєстрації Новокаховської міської ради</v>
      </c>
      <c r="G285" s="1" t="str">
        <f>"1"</f>
        <v>1</v>
      </c>
      <c r="H285" s="1" t="str">
        <f>"Результат"</f>
        <v>Результат</v>
      </c>
      <c r="I285" s="1" t="str">
        <f t="shared" si="44"/>
        <v>Позитивний</v>
      </c>
      <c r="J285" s="1" t="str">
        <f>"Так"</f>
        <v>Так</v>
      </c>
    </row>
    <row r="286" spans="1:10" ht="120" x14ac:dyDescent="0.25">
      <c r="A286" s="1" t="str">
        <f>"260-2020/27"</f>
        <v>260-2020/27</v>
      </c>
      <c r="B286" s="1" t="str">
        <f t="shared" si="42"/>
        <v>16.01.2020</v>
      </c>
      <c r="C286" s="1" t="str">
        <f t="shared" si="43"/>
        <v>Закрито</v>
      </c>
      <c r="D286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86" s="1" t="str">
        <f>"Будівництво"</f>
        <v>Будівництво</v>
      </c>
      <c r="F28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6" s="1" t="str">
        <f>"10"</f>
        <v>10</v>
      </c>
      <c r="H286" s="1" t="str">
        <f>"Результат"</f>
        <v>Результат</v>
      </c>
      <c r="I286" s="1" t="str">
        <f t="shared" si="44"/>
        <v>Позитивний</v>
      </c>
      <c r="J286" s="1" t="str">
        <f>"Ні"</f>
        <v>Ні</v>
      </c>
    </row>
    <row r="287" spans="1:10" ht="45" x14ac:dyDescent="0.25">
      <c r="A287" s="1" t="str">
        <f>"250-2020/27"</f>
        <v>250-2020/27</v>
      </c>
      <c r="B287" s="1" t="str">
        <f t="shared" si="42"/>
        <v>16.01.2020</v>
      </c>
      <c r="C287" s="1" t="str">
        <f t="shared" si="43"/>
        <v>Закрито</v>
      </c>
      <c r="D287" s="1" t="str">
        <f>"Реєстрація місця проживання особи"</f>
        <v>Реєстрація місця проживання особи</v>
      </c>
      <c r="E287" s="1" t="str">
        <f>"Реєстрація місця проживання"</f>
        <v>Реєстрація місця проживання</v>
      </c>
      <c r="F287" s="1" t="str">
        <f>"Відділ реєстрації Новокаховської міської ради"</f>
        <v>Відділ реєстрації Новокаховської міської ради</v>
      </c>
      <c r="G287" s="1" t="str">
        <f>"1"</f>
        <v>1</v>
      </c>
      <c r="H287" s="1" t="str">
        <f>"Результат"</f>
        <v>Результат</v>
      </c>
      <c r="I287" s="1" t="str">
        <f t="shared" si="44"/>
        <v>Позитивний</v>
      </c>
      <c r="J287" s="1" t="str">
        <f>"Так"</f>
        <v>Так</v>
      </c>
    </row>
    <row r="288" spans="1:10" ht="45" x14ac:dyDescent="0.25">
      <c r="A288" s="1" t="str">
        <f>"282-2020/27"</f>
        <v>282-2020/27</v>
      </c>
      <c r="B288" s="1" t="str">
        <f t="shared" si="42"/>
        <v>16.01.2020</v>
      </c>
      <c r="C288" s="1" t="str">
        <f t="shared" si="43"/>
        <v>Закрито</v>
      </c>
      <c r="D288" s="1" t="str">
        <f>"Зняття з реєстрації місця проживання"</f>
        <v>Зняття з реєстрації місця проживання</v>
      </c>
      <c r="E288" s="1" t="str">
        <f>"Реєстрація місця проживання"</f>
        <v>Реєстрація місця проживання</v>
      </c>
      <c r="F288" s="1" t="str">
        <f>"Відділ реєстрації Новокаховської міської ради"</f>
        <v>Відділ реєстрації Новокаховської міської ради</v>
      </c>
      <c r="G288" s="1" t="str">
        <f>"1"</f>
        <v>1</v>
      </c>
      <c r="H288" s="1" t="str">
        <f>"Результат"</f>
        <v>Результат</v>
      </c>
      <c r="I288" s="1" t="str">
        <f t="shared" si="44"/>
        <v>Позитивний</v>
      </c>
      <c r="J288" s="1" t="str">
        <f>"Так"</f>
        <v>Так</v>
      </c>
    </row>
    <row r="289" spans="1:10" ht="135" x14ac:dyDescent="0.25">
      <c r="A289" s="1" t="str">
        <f>"277-2020/27"</f>
        <v>277-2020/27</v>
      </c>
      <c r="B289" s="1" t="str">
        <f t="shared" si="42"/>
        <v>16.01.2020</v>
      </c>
      <c r="C289" s="1" t="str">
        <f t="shared" si="43"/>
        <v>Закрито</v>
      </c>
      <c r="D28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9" s="1" t="str">
        <f>"Земельні питання"</f>
        <v>Земельні питання</v>
      </c>
      <c r="F2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9" s="1" t="str">
        <f>"3"</f>
        <v>3</v>
      </c>
      <c r="H289" s="1" t="str">
        <f>"Результат"</f>
        <v>Результат</v>
      </c>
      <c r="I289" s="1" t="str">
        <f t="shared" si="44"/>
        <v>Позитивний</v>
      </c>
      <c r="J289" s="1" t="str">
        <f>"Ні"</f>
        <v>Ні</v>
      </c>
    </row>
    <row r="290" spans="1:10" ht="45" x14ac:dyDescent="0.25">
      <c r="A290" s="1" t="str">
        <f>"272-2020/27"</f>
        <v>272-2020/27</v>
      </c>
      <c r="B290" s="1" t="str">
        <f t="shared" si="42"/>
        <v>16.01.2020</v>
      </c>
      <c r="C290" s="1" t="str">
        <f t="shared" si="43"/>
        <v>Закрито</v>
      </c>
      <c r="D290" s="1" t="str">
        <f>"Зняття з реєстрації місця проживання"</f>
        <v>Зняття з реєстрації місця проживання</v>
      </c>
      <c r="E290" s="1" t="str">
        <f>"Реєстрація місця проживання"</f>
        <v>Реєстрація місця проживання</v>
      </c>
      <c r="F290" s="1" t="str">
        <f>"Відділ реєстрації Новокаховської міської ради"</f>
        <v>Відділ реєстрації Новокаховської міської ради</v>
      </c>
      <c r="G290" s="1" t="str">
        <f>"1"</f>
        <v>1</v>
      </c>
      <c r="H290" s="1" t="str">
        <f>"Результат"</f>
        <v>Результат</v>
      </c>
      <c r="I290" s="1" t="str">
        <f t="shared" si="44"/>
        <v>Позитивний</v>
      </c>
      <c r="J290" s="1" t="str">
        <f>"Так"</f>
        <v>Так</v>
      </c>
    </row>
    <row r="291" spans="1:10" ht="135" x14ac:dyDescent="0.25">
      <c r="A291" s="1" t="str">
        <f>"268-2020/27"</f>
        <v>268-2020/27</v>
      </c>
      <c r="B291" s="1" t="str">
        <f t="shared" si="42"/>
        <v>16.01.2020</v>
      </c>
      <c r="C291" s="1" t="str">
        <f t="shared" si="43"/>
        <v>Закрито</v>
      </c>
      <c r="D29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1" s="1" t="str">
        <f>"Земельні питання"</f>
        <v>Земельні питання</v>
      </c>
      <c r="F2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1" s="1" t="str">
        <f>"3"</f>
        <v>3</v>
      </c>
      <c r="H291" s="1" t="str">
        <f>"Результат"</f>
        <v>Результат</v>
      </c>
      <c r="I291" s="1" t="str">
        <f t="shared" si="44"/>
        <v>Позитивний</v>
      </c>
      <c r="J291" s="1" t="str">
        <f>"Ні"</f>
        <v>Ні</v>
      </c>
    </row>
    <row r="292" spans="1:10" ht="120" x14ac:dyDescent="0.25">
      <c r="A292" s="1" t="str">
        <f>"261-2020/27"</f>
        <v>261-2020/27</v>
      </c>
      <c r="B292" s="1" t="str">
        <f t="shared" si="42"/>
        <v>16.01.2020</v>
      </c>
      <c r="C292" s="1" t="str">
        <f t="shared" si="43"/>
        <v>Закрито</v>
      </c>
      <c r="D292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92" s="1" t="str">
        <f>"Будівництво"</f>
        <v>Будівництво</v>
      </c>
      <c r="F29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92" s="1" t="str">
        <f>"10"</f>
        <v>10</v>
      </c>
      <c r="H292" s="1" t="str">
        <f>"Результат"</f>
        <v>Результат</v>
      </c>
      <c r="I292" s="1" t="str">
        <f t="shared" si="44"/>
        <v>Позитивний</v>
      </c>
      <c r="J292" s="1" t="str">
        <f>"Ні"</f>
        <v>Ні</v>
      </c>
    </row>
    <row r="293" spans="1:10" ht="135" x14ac:dyDescent="0.25">
      <c r="A293" s="1" t="str">
        <f>"267-2020/27"</f>
        <v>267-2020/27</v>
      </c>
      <c r="B293" s="1" t="str">
        <f t="shared" si="42"/>
        <v>16.01.2020</v>
      </c>
      <c r="C293" s="1" t="str">
        <f t="shared" si="43"/>
        <v>Закрито</v>
      </c>
      <c r="D2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3" s="1" t="str">
        <f>"Земельні питання"</f>
        <v>Земельні питання</v>
      </c>
      <c r="F2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3" s="1" t="str">
        <f>"3"</f>
        <v>3</v>
      </c>
      <c r="H293" s="1" t="str">
        <f>"Результат"</f>
        <v>Результат</v>
      </c>
      <c r="I293" s="1" t="str">
        <f t="shared" si="44"/>
        <v>Позитивний</v>
      </c>
      <c r="J293" s="1" t="str">
        <f>"Ні"</f>
        <v>Ні</v>
      </c>
    </row>
    <row r="294" spans="1:10" ht="135" x14ac:dyDescent="0.25">
      <c r="A294" s="1" t="str">
        <f>"276-2020/27"</f>
        <v>276-2020/27</v>
      </c>
      <c r="B294" s="1" t="str">
        <f t="shared" si="42"/>
        <v>16.01.2020</v>
      </c>
      <c r="C294" s="1" t="str">
        <f t="shared" si="43"/>
        <v>Закрито</v>
      </c>
      <c r="D2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4" s="1" t="str">
        <f>"Земельні питання"</f>
        <v>Земельні питання</v>
      </c>
      <c r="F2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4" s="1" t="str">
        <f>"3"</f>
        <v>3</v>
      </c>
      <c r="H294" s="1" t="str">
        <f>"Результат"</f>
        <v>Результат</v>
      </c>
      <c r="I294" s="1" t="str">
        <f t="shared" si="44"/>
        <v>Позитивний</v>
      </c>
      <c r="J294" s="1" t="str">
        <f>"Ні"</f>
        <v>Ні</v>
      </c>
    </row>
    <row r="295" spans="1:10" ht="45" x14ac:dyDescent="0.25">
      <c r="A295" s="1" t="str">
        <f>"304-2020/27"</f>
        <v>304-2020/27</v>
      </c>
      <c r="B295" s="1" t="str">
        <f t="shared" ref="B295:B334" si="47">"17.01.2020"</f>
        <v>17.01.2020</v>
      </c>
      <c r="C295" s="1" t="str">
        <f t="shared" si="43"/>
        <v>Закрито</v>
      </c>
      <c r="D295" s="1" t="str">
        <f>"Зняття з реєстрації місця проживання"</f>
        <v>Зняття з реєстрації місця проживання</v>
      </c>
      <c r="E295" s="1" t="str">
        <f>"Реєстрація місця проживання"</f>
        <v>Реєстрація місця проживання</v>
      </c>
      <c r="F295" s="1" t="str">
        <f>"Відділ реєстрації Новокаховської міської ради"</f>
        <v>Відділ реєстрації Новокаховської міської ради</v>
      </c>
      <c r="G295" s="1" t="str">
        <f>"1"</f>
        <v>1</v>
      </c>
      <c r="H295" s="1" t="str">
        <f>"Результат"</f>
        <v>Результат</v>
      </c>
      <c r="I295" s="1" t="str">
        <f t="shared" si="44"/>
        <v>Позитивний</v>
      </c>
      <c r="J295" s="1" t="str">
        <f>"Так"</f>
        <v>Так</v>
      </c>
    </row>
    <row r="296" spans="1:10" ht="135" x14ac:dyDescent="0.25">
      <c r="A296" s="1" t="str">
        <f>"308-2020/27"</f>
        <v>308-2020/27</v>
      </c>
      <c r="B296" s="1" t="str">
        <f t="shared" si="47"/>
        <v>17.01.2020</v>
      </c>
      <c r="C296" s="1" t="str">
        <f t="shared" si="43"/>
        <v>Закрито</v>
      </c>
      <c r="D29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6" s="1" t="str">
        <f>"Земельні питання"</f>
        <v>Земельні питання</v>
      </c>
      <c r="F2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" s="1" t="str">
        <f>"1"</f>
        <v>1</v>
      </c>
      <c r="H296" s="1" t="str">
        <f>"Результат"</f>
        <v>Результат</v>
      </c>
      <c r="I296" s="1" t="str">
        <f t="shared" si="44"/>
        <v>Позитивний</v>
      </c>
      <c r="J296" s="1" t="str">
        <f>"Так"</f>
        <v>Так</v>
      </c>
    </row>
    <row r="297" spans="1:10" ht="45" x14ac:dyDescent="0.25">
      <c r="A297" s="1" t="str">
        <f>"314-2020/27"</f>
        <v>314-2020/27</v>
      </c>
      <c r="B297" s="1" t="str">
        <f t="shared" si="47"/>
        <v>17.01.2020</v>
      </c>
      <c r="C297" s="1" t="str">
        <f t="shared" si="43"/>
        <v>Закрито</v>
      </c>
      <c r="D297" s="1" t="str">
        <f>"Зняття з реєстрації місця проживання"</f>
        <v>Зняття з реєстрації місця проживання</v>
      </c>
      <c r="E297" s="1" t="str">
        <f>"Реєстрація місця проживання"</f>
        <v>Реєстрація місця проживання</v>
      </c>
      <c r="F297" s="1" t="str">
        <f>"Відділ реєстрації Новокаховської міської ради"</f>
        <v>Відділ реєстрації Новокаховської міської ради</v>
      </c>
      <c r="G297" s="1" t="str">
        <f>"1"</f>
        <v>1</v>
      </c>
      <c r="H297" s="1" t="str">
        <f>"Результат"</f>
        <v>Результат</v>
      </c>
      <c r="I297" s="1" t="str">
        <f t="shared" si="44"/>
        <v>Позитивний</v>
      </c>
      <c r="J297" s="1" t="str">
        <f>"Так"</f>
        <v>Так</v>
      </c>
    </row>
    <row r="298" spans="1:10" ht="90" x14ac:dyDescent="0.25">
      <c r="A298" s="1" t="str">
        <f>"318-2020/27"</f>
        <v>318-2020/27</v>
      </c>
      <c r="B298" s="1" t="str">
        <f t="shared" si="47"/>
        <v>17.01.2020</v>
      </c>
      <c r="C298" s="1" t="str">
        <f t="shared" si="43"/>
        <v>Закрито</v>
      </c>
      <c r="D29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8" s="1" t="str">
        <f>"Інші послуги"</f>
        <v>Інші послуги</v>
      </c>
      <c r="F29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8" s="1" t="str">
        <f>"5"</f>
        <v>5</v>
      </c>
      <c r="H298" s="1" t="str">
        <f>"Результат"</f>
        <v>Результат</v>
      </c>
      <c r="I298" s="1" t="str">
        <f t="shared" si="44"/>
        <v>Позитивний</v>
      </c>
      <c r="J298" s="1" t="str">
        <f>"Ні"</f>
        <v>Ні</v>
      </c>
    </row>
    <row r="299" spans="1:10" ht="90" x14ac:dyDescent="0.25">
      <c r="A299" s="1" t="str">
        <f>"319-2020/27"</f>
        <v>319-2020/27</v>
      </c>
      <c r="B299" s="1" t="str">
        <f t="shared" si="47"/>
        <v>17.01.2020</v>
      </c>
      <c r="C299" s="1" t="str">
        <f t="shared" si="43"/>
        <v>Закрито</v>
      </c>
      <c r="D29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9" s="1" t="str">
        <f>"Інші послуги"</f>
        <v>Інші послуги</v>
      </c>
      <c r="F29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9" s="1" t="str">
        <f>"5"</f>
        <v>5</v>
      </c>
      <c r="H299" s="1" t="str">
        <f>"Результат"</f>
        <v>Результат</v>
      </c>
      <c r="I299" s="1" t="str">
        <f t="shared" si="44"/>
        <v>Позитивний</v>
      </c>
      <c r="J299" s="1" t="str">
        <f>"Ні"</f>
        <v>Ні</v>
      </c>
    </row>
    <row r="300" spans="1:10" ht="225" x14ac:dyDescent="0.25">
      <c r="A300" s="1" t="str">
        <f>"317-2020/27"</f>
        <v>317-2020/27</v>
      </c>
      <c r="B300" s="1" t="str">
        <f t="shared" si="47"/>
        <v>17.01.2020</v>
      </c>
      <c r="C300" s="1" t="str">
        <f t="shared" si="43"/>
        <v>Закрито</v>
      </c>
      <c r="D300" s="1" t="str">
        <f>"Видача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ринків"</f>
        <v>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</v>
      </c>
      <c r="E300" s="1" t="str">
        <f>"Дозволи Держпродспоживслужби"</f>
        <v>Дозволи Держпродспоживслужби</v>
      </c>
      <c r="F300" s="1" t="str">
        <f>"Управління Держпродспоживслужби в м. Новій Каховці"</f>
        <v>Управління Держпродспоживслужби в м. Новій Каховці</v>
      </c>
      <c r="G300" s="1" t="str">
        <f>"30"</f>
        <v>30</v>
      </c>
      <c r="H300" s="1" t="str">
        <f>"Результат"</f>
        <v>Результат</v>
      </c>
      <c r="I300" s="1" t="str">
        <f>"Мотивована відмова"</f>
        <v>Мотивована відмова</v>
      </c>
      <c r="J300" s="1" t="str">
        <f>"Ні"</f>
        <v>Ні</v>
      </c>
    </row>
    <row r="301" spans="1:10" ht="135" x14ac:dyDescent="0.25">
      <c r="A301" s="1" t="str">
        <f>"300-2020/27"</f>
        <v>300-2020/27</v>
      </c>
      <c r="B301" s="1" t="str">
        <f t="shared" si="47"/>
        <v>17.01.2020</v>
      </c>
      <c r="C301" s="1" t="str">
        <f t="shared" si="43"/>
        <v>Закрито</v>
      </c>
      <c r="D30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1" s="1" t="str">
        <f>"Земельні питання"</f>
        <v>Земельні питання</v>
      </c>
      <c r="F3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1" s="1" t="str">
        <f>"3"</f>
        <v>3</v>
      </c>
      <c r="H301" s="1" t="str">
        <f>"Результат"</f>
        <v>Результат</v>
      </c>
      <c r="I301" s="1" t="str">
        <f>"Позитивний"</f>
        <v>Позитивний</v>
      </c>
      <c r="J301" s="1" t="str">
        <f>"Ні"</f>
        <v>Ні</v>
      </c>
    </row>
    <row r="302" spans="1:10" ht="90" x14ac:dyDescent="0.25">
      <c r="A302" s="1" t="str">
        <f>"303-2020/27"</f>
        <v>303-2020/27</v>
      </c>
      <c r="B302" s="1" t="str">
        <f t="shared" si="47"/>
        <v>17.01.2020</v>
      </c>
      <c r="C302" s="1" t="str">
        <f t="shared" si="43"/>
        <v>Закрито</v>
      </c>
      <c r="D30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2" s="1" t="str">
        <f>"Інші послуги"</f>
        <v>Інші послуги</v>
      </c>
      <c r="F30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2" s="1" t="str">
        <f>"5"</f>
        <v>5</v>
      </c>
      <c r="H302" s="1" t="str">
        <f>"Результат"</f>
        <v>Результат</v>
      </c>
      <c r="I302" s="1" t="str">
        <f>"Позитивний"</f>
        <v>Позитивний</v>
      </c>
      <c r="J302" s="1" t="str">
        <f>"Ні"</f>
        <v>Ні</v>
      </c>
    </row>
    <row r="303" spans="1:10" ht="45" x14ac:dyDescent="0.25">
      <c r="A303" s="1" t="str">
        <f>"306-2020/27"</f>
        <v>306-2020/27</v>
      </c>
      <c r="B303" s="1" t="str">
        <f t="shared" si="47"/>
        <v>17.01.2020</v>
      </c>
      <c r="C303" s="1" t="str">
        <f t="shared" si="43"/>
        <v>Закрито</v>
      </c>
      <c r="D303" s="1" t="str">
        <f>"Зняття з реєстрації місця проживання"</f>
        <v>Зняття з реєстрації місця проживання</v>
      </c>
      <c r="E303" s="1" t="str">
        <f>"Реєстрація місця проживання"</f>
        <v>Реєстрація місця проживання</v>
      </c>
      <c r="F303" s="1" t="str">
        <f>"Відділ реєстрації Новокаховської міської ради"</f>
        <v>Відділ реєстрації Новокаховської міської ради</v>
      </c>
      <c r="G303" s="1" t="str">
        <f>"1"</f>
        <v>1</v>
      </c>
      <c r="H303" s="1" t="str">
        <f>"Результат"</f>
        <v>Результат</v>
      </c>
      <c r="I303" s="1" t="str">
        <f>"Позитивний"</f>
        <v>Позитивний</v>
      </c>
      <c r="J303" s="1" t="str">
        <f>"Так"</f>
        <v>Так</v>
      </c>
    </row>
    <row r="304" spans="1:10" ht="135" x14ac:dyDescent="0.25">
      <c r="A304" s="1" t="str">
        <f>"292-2020/27"</f>
        <v>292-2020/27</v>
      </c>
      <c r="B304" s="1" t="str">
        <f t="shared" si="47"/>
        <v>17.01.2020</v>
      </c>
      <c r="C304" s="1" t="str">
        <f t="shared" si="43"/>
        <v>Закрито</v>
      </c>
      <c r="D30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4" s="1" t="str">
        <f t="shared" ref="E304:E309" si="48">"Земельні питання"</f>
        <v>Земельні питання</v>
      </c>
      <c r="F304" s="1" t="str">
        <f t="shared" ref="F304:F309" si="49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4" s="1" t="str">
        <f>"3"</f>
        <v>3</v>
      </c>
      <c r="H304" s="1" t="str">
        <f>"Результат"</f>
        <v>Результат</v>
      </c>
      <c r="I304" s="1" t="str">
        <f>"Позитивний"</f>
        <v>Позитивний</v>
      </c>
      <c r="J304" s="1" t="str">
        <f t="shared" ref="J304:J309" si="50">"Ні"</f>
        <v>Ні</v>
      </c>
    </row>
    <row r="305" spans="1:10" ht="135" x14ac:dyDescent="0.25">
      <c r="A305" s="1" t="str">
        <f>"296-2020/27"</f>
        <v>296-2020/27</v>
      </c>
      <c r="B305" s="1" t="str">
        <f t="shared" si="47"/>
        <v>17.01.2020</v>
      </c>
      <c r="C305" s="1" t="str">
        <f t="shared" si="43"/>
        <v>Закрито</v>
      </c>
      <c r="D30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5" s="1" t="str">
        <f t="shared" si="48"/>
        <v>Земельні питання</v>
      </c>
      <c r="F305" s="1" t="str">
        <f t="shared" si="4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5" s="1" t="str">
        <f>"3"</f>
        <v>3</v>
      </c>
      <c r="H305" s="1" t="str">
        <f>"Результат"</f>
        <v>Результат</v>
      </c>
      <c r="I305" s="1" t="str">
        <f>"Позитивний"</f>
        <v>Позитивний</v>
      </c>
      <c r="J305" s="1" t="str">
        <f t="shared" si="50"/>
        <v>Ні</v>
      </c>
    </row>
    <row r="306" spans="1:10" ht="135" x14ac:dyDescent="0.25">
      <c r="A306" s="1" t="str">
        <f>"324-2020/27"</f>
        <v>324-2020/27</v>
      </c>
      <c r="B306" s="1" t="str">
        <f t="shared" si="47"/>
        <v>17.01.2020</v>
      </c>
      <c r="C306" s="1" t="str">
        <f t="shared" si="43"/>
        <v>Закрито</v>
      </c>
      <c r="D30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6" s="1" t="str">
        <f t="shared" si="48"/>
        <v>Земельні питання</v>
      </c>
      <c r="F306" s="1" t="str">
        <f t="shared" si="4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" s="1" t="str">
        <f>"14"</f>
        <v>14</v>
      </c>
      <c r="H306" s="1" t="str">
        <f>"Результат"</f>
        <v>Результат</v>
      </c>
      <c r="I306" s="1" t="str">
        <f>"Мотивована відмова"</f>
        <v>Мотивована відмова</v>
      </c>
      <c r="J306" s="1" t="str">
        <f t="shared" si="50"/>
        <v>Ні</v>
      </c>
    </row>
    <row r="307" spans="1:10" ht="135" x14ac:dyDescent="0.25">
      <c r="A307" s="1" t="str">
        <f>"320-2020/27"</f>
        <v>320-2020/27</v>
      </c>
      <c r="B307" s="1" t="str">
        <f t="shared" si="47"/>
        <v>17.01.2020</v>
      </c>
      <c r="C307" s="1" t="str">
        <f t="shared" si="43"/>
        <v>Закрито</v>
      </c>
      <c r="D30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7" s="1" t="str">
        <f t="shared" si="48"/>
        <v>Земельні питання</v>
      </c>
      <c r="F307" s="1" t="str">
        <f t="shared" si="4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7" s="1" t="str">
        <f>"14"</f>
        <v>14</v>
      </c>
      <c r="H307" s="1" t="str">
        <f>"Результат"</f>
        <v>Результат</v>
      </c>
      <c r="I307" s="1" t="str">
        <f t="shared" ref="I307:I316" si="51">"Позитивний"</f>
        <v>Позитивний</v>
      </c>
      <c r="J307" s="1" t="str">
        <f t="shared" si="50"/>
        <v>Ні</v>
      </c>
    </row>
    <row r="308" spans="1:10" ht="135" x14ac:dyDescent="0.25">
      <c r="A308" s="1" t="str">
        <f>"322-2020/27"</f>
        <v>322-2020/27</v>
      </c>
      <c r="B308" s="1" t="str">
        <f t="shared" si="47"/>
        <v>17.01.2020</v>
      </c>
      <c r="C308" s="1" t="str">
        <f t="shared" si="43"/>
        <v>Закрито</v>
      </c>
      <c r="D30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8" s="1" t="str">
        <f t="shared" si="48"/>
        <v>Земельні питання</v>
      </c>
      <c r="F308" s="1" t="str">
        <f t="shared" si="4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8" s="1" t="str">
        <f>"3"</f>
        <v>3</v>
      </c>
      <c r="H308" s="1" t="str">
        <f>"Результат"</f>
        <v>Результат</v>
      </c>
      <c r="I308" s="1" t="str">
        <f t="shared" si="51"/>
        <v>Позитивний</v>
      </c>
      <c r="J308" s="1" t="str">
        <f t="shared" si="50"/>
        <v>Ні</v>
      </c>
    </row>
    <row r="309" spans="1:10" ht="135" x14ac:dyDescent="0.25">
      <c r="A309" s="1" t="str">
        <f>"326-2020/27"</f>
        <v>326-2020/27</v>
      </c>
      <c r="B309" s="1" t="str">
        <f t="shared" si="47"/>
        <v>17.01.2020</v>
      </c>
      <c r="C309" s="1" t="str">
        <f t="shared" si="43"/>
        <v>Закрито</v>
      </c>
      <c r="D30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9" s="1" t="str">
        <f t="shared" si="48"/>
        <v>Земельні питання</v>
      </c>
      <c r="F309" s="1" t="str">
        <f t="shared" si="4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9" s="1" t="str">
        <f>"14"</f>
        <v>14</v>
      </c>
      <c r="H309" s="1" t="str">
        <f>"Результат"</f>
        <v>Результат</v>
      </c>
      <c r="I309" s="1" t="str">
        <f t="shared" si="51"/>
        <v>Позитивний</v>
      </c>
      <c r="J309" s="1" t="str">
        <f t="shared" si="50"/>
        <v>Ні</v>
      </c>
    </row>
    <row r="310" spans="1:10" ht="45" x14ac:dyDescent="0.25">
      <c r="A310" s="1" t="str">
        <f>"315-2020/27"</f>
        <v>315-2020/27</v>
      </c>
      <c r="B310" s="1" t="str">
        <f t="shared" si="47"/>
        <v>17.01.2020</v>
      </c>
      <c r="C310" s="1" t="str">
        <f t="shared" si="43"/>
        <v>Закрито</v>
      </c>
      <c r="D310" s="1" t="str">
        <f>"Зняття з реєстрації місця проживання"</f>
        <v>Зняття з реєстрації місця проживання</v>
      </c>
      <c r="E310" s="1" t="str">
        <f>"Реєстрація місця проживання"</f>
        <v>Реєстрація місця проживання</v>
      </c>
      <c r="F310" s="1" t="str">
        <f>"Відділ реєстрації Новокаховської міської ради"</f>
        <v>Відділ реєстрації Новокаховської міської ради</v>
      </c>
      <c r="G310" s="1" t="str">
        <f>"1"</f>
        <v>1</v>
      </c>
      <c r="H310" s="1" t="str">
        <f>"Результат"</f>
        <v>Результат</v>
      </c>
      <c r="I310" s="1" t="str">
        <f t="shared" si="51"/>
        <v>Позитивний</v>
      </c>
      <c r="J310" s="1" t="str">
        <f>"Так"</f>
        <v>Так</v>
      </c>
    </row>
    <row r="311" spans="1:10" ht="135" x14ac:dyDescent="0.25">
      <c r="A311" s="1" t="str">
        <f>"294-2020/27"</f>
        <v>294-2020/27</v>
      </c>
      <c r="B311" s="1" t="str">
        <f t="shared" si="47"/>
        <v>17.01.2020</v>
      </c>
      <c r="C311" s="1" t="str">
        <f t="shared" si="43"/>
        <v>Закрито</v>
      </c>
      <c r="D3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11" s="1" t="str">
        <f t="shared" ref="E311:E318" si="52">"Земельні питання"</f>
        <v>Земельні питання</v>
      </c>
      <c r="F311" s="1" t="str">
        <f t="shared" ref="F311:F318" si="53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1" s="1" t="str">
        <f>"3"</f>
        <v>3</v>
      </c>
      <c r="H311" s="1" t="str">
        <f>"Результат"</f>
        <v>Результат</v>
      </c>
      <c r="I311" s="1" t="str">
        <f t="shared" si="51"/>
        <v>Позитивний</v>
      </c>
      <c r="J311" s="1" t="str">
        <f t="shared" ref="J311:J319" si="54">"Ні"</f>
        <v>Ні</v>
      </c>
    </row>
    <row r="312" spans="1:10" ht="135" x14ac:dyDescent="0.25">
      <c r="A312" s="1" t="str">
        <f>"295-2020/27"</f>
        <v>295-2020/27</v>
      </c>
      <c r="B312" s="1" t="str">
        <f t="shared" si="47"/>
        <v>17.01.2020</v>
      </c>
      <c r="C312" s="1" t="str">
        <f t="shared" si="43"/>
        <v>Закрито</v>
      </c>
      <c r="D3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12" s="1" t="str">
        <f t="shared" si="52"/>
        <v>Земельні питання</v>
      </c>
      <c r="F312" s="1" t="str">
        <f t="shared" si="5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2" s="1" t="str">
        <f>"3"</f>
        <v>3</v>
      </c>
      <c r="H312" s="1" t="str">
        <f>"Результат"</f>
        <v>Результат</v>
      </c>
      <c r="I312" s="1" t="str">
        <f t="shared" si="51"/>
        <v>Позитивний</v>
      </c>
      <c r="J312" s="1" t="str">
        <f t="shared" si="54"/>
        <v>Ні</v>
      </c>
    </row>
    <row r="313" spans="1:10" ht="135" x14ac:dyDescent="0.25">
      <c r="A313" s="1" t="str">
        <f>"297-2020/27"</f>
        <v>297-2020/27</v>
      </c>
      <c r="B313" s="1" t="str">
        <f t="shared" si="47"/>
        <v>17.01.2020</v>
      </c>
      <c r="C313" s="1" t="str">
        <f t="shared" si="43"/>
        <v>Закрито</v>
      </c>
      <c r="D3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13" s="1" t="str">
        <f t="shared" si="52"/>
        <v>Земельні питання</v>
      </c>
      <c r="F313" s="1" t="str">
        <f t="shared" si="5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3" s="1" t="str">
        <f>"3"</f>
        <v>3</v>
      </c>
      <c r="H313" s="1" t="str">
        <f>"Результат"</f>
        <v>Результат</v>
      </c>
      <c r="I313" s="1" t="str">
        <f t="shared" si="51"/>
        <v>Позитивний</v>
      </c>
      <c r="J313" s="1" t="str">
        <f t="shared" si="54"/>
        <v>Ні</v>
      </c>
    </row>
    <row r="314" spans="1:10" ht="135" x14ac:dyDescent="0.25">
      <c r="A314" s="1" t="str">
        <f>"291-2020/27"</f>
        <v>291-2020/27</v>
      </c>
      <c r="B314" s="1" t="str">
        <f t="shared" si="47"/>
        <v>17.01.2020</v>
      </c>
      <c r="C314" s="1" t="str">
        <f t="shared" si="43"/>
        <v>Закрито</v>
      </c>
      <c r="D31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14" s="1" t="str">
        <f t="shared" si="52"/>
        <v>Земельні питання</v>
      </c>
      <c r="F314" s="1" t="str">
        <f t="shared" si="5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4" s="1" t="str">
        <f>"14"</f>
        <v>14</v>
      </c>
      <c r="H314" s="1" t="str">
        <f>"Результат"</f>
        <v>Результат</v>
      </c>
      <c r="I314" s="1" t="str">
        <f t="shared" si="51"/>
        <v>Позитивний</v>
      </c>
      <c r="J314" s="1" t="str">
        <f t="shared" si="54"/>
        <v>Ні</v>
      </c>
    </row>
    <row r="315" spans="1:10" ht="135" x14ac:dyDescent="0.25">
      <c r="A315" s="1" t="str">
        <f>"298-2020/27"</f>
        <v>298-2020/27</v>
      </c>
      <c r="B315" s="1" t="str">
        <f t="shared" si="47"/>
        <v>17.01.2020</v>
      </c>
      <c r="C315" s="1" t="str">
        <f t="shared" si="43"/>
        <v>Закрито</v>
      </c>
      <c r="D31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15" s="1" t="str">
        <f t="shared" si="52"/>
        <v>Земельні питання</v>
      </c>
      <c r="F315" s="1" t="str">
        <f t="shared" si="5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5" s="1" t="str">
        <f>"3"</f>
        <v>3</v>
      </c>
      <c r="H315" s="1" t="str">
        <f>"Результат"</f>
        <v>Результат</v>
      </c>
      <c r="I315" s="1" t="str">
        <f t="shared" si="51"/>
        <v>Позитивний</v>
      </c>
      <c r="J315" s="1" t="str">
        <f t="shared" si="54"/>
        <v>Ні</v>
      </c>
    </row>
    <row r="316" spans="1:10" ht="135" x14ac:dyDescent="0.25">
      <c r="A316" s="1" t="str">
        <f>"313-2020/27"</f>
        <v>313-2020/27</v>
      </c>
      <c r="B316" s="1" t="str">
        <f t="shared" si="47"/>
        <v>17.01.2020</v>
      </c>
      <c r="C316" s="1" t="str">
        <f t="shared" si="43"/>
        <v>Закрито</v>
      </c>
      <c r="D3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16" s="1" t="str">
        <f t="shared" si="52"/>
        <v>Земельні питання</v>
      </c>
      <c r="F316" s="1" t="str">
        <f t="shared" si="5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6" s="1" t="str">
        <f>"3"</f>
        <v>3</v>
      </c>
      <c r="H316" s="1" t="str">
        <f>"Результат"</f>
        <v>Результат</v>
      </c>
      <c r="I316" s="1" t="str">
        <f t="shared" si="51"/>
        <v>Позитивний</v>
      </c>
      <c r="J316" s="1" t="str">
        <f t="shared" si="54"/>
        <v>Ні</v>
      </c>
    </row>
    <row r="317" spans="1:10" ht="135" x14ac:dyDescent="0.25">
      <c r="A317" s="1" t="str">
        <f>"323-2020/27"</f>
        <v>323-2020/27</v>
      </c>
      <c r="B317" s="1" t="str">
        <f t="shared" si="47"/>
        <v>17.01.2020</v>
      </c>
      <c r="C317" s="1" t="str">
        <f t="shared" si="43"/>
        <v>Закрито</v>
      </c>
      <c r="D31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17" s="1" t="str">
        <f t="shared" si="52"/>
        <v>Земельні питання</v>
      </c>
      <c r="F317" s="1" t="str">
        <f t="shared" si="5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7" s="1" t="str">
        <f>"14"</f>
        <v>14</v>
      </c>
      <c r="H317" s="1" t="str">
        <f>"Результат"</f>
        <v>Результат</v>
      </c>
      <c r="I317" s="1" t="str">
        <f>"Мотивована відмова"</f>
        <v>Мотивована відмова</v>
      </c>
      <c r="J317" s="1" t="str">
        <f t="shared" si="54"/>
        <v>Ні</v>
      </c>
    </row>
    <row r="318" spans="1:10" ht="135" x14ac:dyDescent="0.25">
      <c r="A318" s="1" t="str">
        <f>"293-2020/27"</f>
        <v>293-2020/27</v>
      </c>
      <c r="B318" s="1" t="str">
        <f t="shared" si="47"/>
        <v>17.01.2020</v>
      </c>
      <c r="C318" s="1" t="str">
        <f t="shared" si="43"/>
        <v>Закрито</v>
      </c>
      <c r="D31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18" s="1" t="str">
        <f t="shared" si="52"/>
        <v>Земельні питання</v>
      </c>
      <c r="F318" s="1" t="str">
        <f t="shared" si="5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8" s="1" t="str">
        <f>"3"</f>
        <v>3</v>
      </c>
      <c r="H318" s="1" t="str">
        <f>"Результат"</f>
        <v>Результат</v>
      </c>
      <c r="I318" s="1" t="str">
        <f t="shared" ref="I318:I324" si="55">"Позитивний"</f>
        <v>Позитивний</v>
      </c>
      <c r="J318" s="1" t="str">
        <f t="shared" si="54"/>
        <v>Ні</v>
      </c>
    </row>
    <row r="319" spans="1:10" ht="90" x14ac:dyDescent="0.25">
      <c r="A319" s="1" t="str">
        <f>"316-2020/27"</f>
        <v>316-2020/27</v>
      </c>
      <c r="B319" s="1" t="str">
        <f t="shared" si="47"/>
        <v>17.01.2020</v>
      </c>
      <c r="C319" s="1" t="str">
        <f t="shared" si="43"/>
        <v>Закрито</v>
      </c>
      <c r="D31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9" s="1" t="str">
        <f>"Інші послуги"</f>
        <v>Інші послуги</v>
      </c>
      <c r="F31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9" s="1" t="str">
        <f>"5"</f>
        <v>5</v>
      </c>
      <c r="H319" s="1" t="str">
        <f>"Результат"</f>
        <v>Результат</v>
      </c>
      <c r="I319" s="1" t="str">
        <f t="shared" si="55"/>
        <v>Позитивний</v>
      </c>
      <c r="J319" s="1" t="str">
        <f t="shared" si="54"/>
        <v>Ні</v>
      </c>
    </row>
    <row r="320" spans="1:10" ht="45" x14ac:dyDescent="0.25">
      <c r="A320" s="1" t="str">
        <f>"311-2020/27"</f>
        <v>311-2020/27</v>
      </c>
      <c r="B320" s="1" t="str">
        <f t="shared" si="47"/>
        <v>17.01.2020</v>
      </c>
      <c r="C320" s="1" t="str">
        <f t="shared" si="43"/>
        <v>Закрито</v>
      </c>
      <c r="D320" s="1" t="str">
        <f>"Реєстрація місця проживання особи"</f>
        <v>Реєстрація місця проживання особи</v>
      </c>
      <c r="E320" s="1" t="str">
        <f>"Реєстрація місця проживання"</f>
        <v>Реєстрація місця проживання</v>
      </c>
      <c r="F320" s="1" t="str">
        <f>"Відділ реєстрації Новокаховської міської ради"</f>
        <v>Відділ реєстрації Новокаховської міської ради</v>
      </c>
      <c r="G320" s="1" t="str">
        <f>"1"</f>
        <v>1</v>
      </c>
      <c r="H320" s="1" t="str">
        <f>"Результат"</f>
        <v>Результат</v>
      </c>
      <c r="I320" s="1" t="str">
        <f t="shared" si="55"/>
        <v>Позитивний</v>
      </c>
      <c r="J320" s="1" t="str">
        <f>"Так"</f>
        <v>Так</v>
      </c>
    </row>
    <row r="321" spans="1:10" ht="135" x14ac:dyDescent="0.25">
      <c r="A321" s="1" t="str">
        <f>"299-2020/27"</f>
        <v>299-2020/27</v>
      </c>
      <c r="B321" s="1" t="str">
        <f t="shared" si="47"/>
        <v>17.01.2020</v>
      </c>
      <c r="C321" s="1" t="str">
        <f t="shared" si="43"/>
        <v>Закрито</v>
      </c>
      <c r="D32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21" s="1" t="str">
        <f>"Земельні питання"</f>
        <v>Земельні питання</v>
      </c>
      <c r="F3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21" s="1" t="str">
        <f>"3"</f>
        <v>3</v>
      </c>
      <c r="H321" s="1" t="str">
        <f>"Результат"</f>
        <v>Результат</v>
      </c>
      <c r="I321" s="1" t="str">
        <f t="shared" si="55"/>
        <v>Позитивний</v>
      </c>
      <c r="J321" s="1" t="str">
        <f>"Ні"</f>
        <v>Ні</v>
      </c>
    </row>
    <row r="322" spans="1:10" ht="45" x14ac:dyDescent="0.25">
      <c r="A322" s="1" t="str">
        <f>"289-2020/27"</f>
        <v>289-2020/27</v>
      </c>
      <c r="B322" s="1" t="str">
        <f t="shared" si="47"/>
        <v>17.01.2020</v>
      </c>
      <c r="C322" s="1" t="str">
        <f t="shared" si="43"/>
        <v>Закрито</v>
      </c>
      <c r="D322" s="1" t="str">
        <f>"Зняття з реєстрації місця проживання"</f>
        <v>Зняття з реєстрації місця проживання</v>
      </c>
      <c r="E322" s="1" t="str">
        <f>"Реєстрація місця проживання"</f>
        <v>Реєстрація місця проживання</v>
      </c>
      <c r="F322" s="1" t="str">
        <f>"Відділ реєстрації Новокаховської міської ради"</f>
        <v>Відділ реєстрації Новокаховської міської ради</v>
      </c>
      <c r="G322" s="1" t="str">
        <f>"1"</f>
        <v>1</v>
      </c>
      <c r="H322" s="1" t="str">
        <f>"Результат"</f>
        <v>Результат</v>
      </c>
      <c r="I322" s="1" t="str">
        <f t="shared" si="55"/>
        <v>Позитивний</v>
      </c>
      <c r="J322" s="1" t="str">
        <f>"Так"</f>
        <v>Так</v>
      </c>
    </row>
    <row r="323" spans="1:10" ht="135" x14ac:dyDescent="0.25">
      <c r="A323" s="1" t="str">
        <f>"327-2020/27"</f>
        <v>327-2020/27</v>
      </c>
      <c r="B323" s="1" t="str">
        <f t="shared" si="47"/>
        <v>17.01.2020</v>
      </c>
      <c r="C323" s="1" t="str">
        <f t="shared" si="43"/>
        <v>Закрито</v>
      </c>
      <c r="D32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23" s="1" t="str">
        <f>"Земельні питання"</f>
        <v>Земельні питання</v>
      </c>
      <c r="F3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23" s="1" t="str">
        <f>"14"</f>
        <v>14</v>
      </c>
      <c r="H323" s="1" t="str">
        <f>"Результат"</f>
        <v>Результат</v>
      </c>
      <c r="I323" s="1" t="str">
        <f t="shared" si="55"/>
        <v>Позитивний</v>
      </c>
      <c r="J323" s="1" t="str">
        <f>"Ні"</f>
        <v>Ні</v>
      </c>
    </row>
    <row r="324" spans="1:10" ht="135" x14ac:dyDescent="0.25">
      <c r="A324" s="1" t="str">
        <f>"325-2020/27"</f>
        <v>325-2020/27</v>
      </c>
      <c r="B324" s="1" t="str">
        <f t="shared" si="47"/>
        <v>17.01.2020</v>
      </c>
      <c r="C324" s="1" t="str">
        <f t="shared" si="43"/>
        <v>Закрито</v>
      </c>
      <c r="D32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24" s="1" t="str">
        <f>"Земельні питання"</f>
        <v>Земельні питання</v>
      </c>
      <c r="F3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24" s="1" t="str">
        <f>"14"</f>
        <v>14</v>
      </c>
      <c r="H324" s="1" t="str">
        <f>"Результат"</f>
        <v>Результат</v>
      </c>
      <c r="I324" s="1" t="str">
        <f t="shared" si="55"/>
        <v>Позитивний</v>
      </c>
      <c r="J324" s="1" t="str">
        <f>"Ні"</f>
        <v>Ні</v>
      </c>
    </row>
    <row r="325" spans="1:10" ht="45" x14ac:dyDescent="0.25">
      <c r="A325" s="1" t="str">
        <f>"321-2020/27"</f>
        <v>321-2020/27</v>
      </c>
      <c r="B325" s="1" t="str">
        <f t="shared" si="47"/>
        <v>17.01.2020</v>
      </c>
      <c r="C325" s="1" t="str">
        <f t="shared" ref="C325:C388" si="56">"Закрито"</f>
        <v>Закрито</v>
      </c>
      <c r="D325" s="1" t="str">
        <f>"Реєстрація місця проживання особи"</f>
        <v>Реєстрація місця проживання особи</v>
      </c>
      <c r="E325" s="1" t="str">
        <f>"Реєстрація місця проживання"</f>
        <v>Реєстрація місця проживання</v>
      </c>
      <c r="F325" s="1" t="str">
        <f>"Відділ реєстрації Новокаховської міської ради"</f>
        <v>Відділ реєстрації Новокаховської міської ради</v>
      </c>
      <c r="G325" s="1" t="str">
        <f>"1"</f>
        <v>1</v>
      </c>
      <c r="H325" s="1" t="str">
        <f>"Результат"</f>
        <v>Результат</v>
      </c>
      <c r="I325" s="1" t="str">
        <f>"Мотивована відмова"</f>
        <v>Мотивована відмова</v>
      </c>
      <c r="J325" s="1" t="str">
        <f>"Так"</f>
        <v>Так</v>
      </c>
    </row>
    <row r="326" spans="1:10" ht="135" x14ac:dyDescent="0.25">
      <c r="A326" s="1" t="str">
        <f>"328-2020/27"</f>
        <v>328-2020/27</v>
      </c>
      <c r="B326" s="1" t="str">
        <f t="shared" si="47"/>
        <v>17.01.2020</v>
      </c>
      <c r="C326" s="1" t="str">
        <f t="shared" si="56"/>
        <v>Закрито</v>
      </c>
      <c r="D3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26" s="1" t="str">
        <f>"Земельні питання"</f>
        <v>Земельні питання</v>
      </c>
      <c r="F3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26" s="1" t="str">
        <f>"1"</f>
        <v>1</v>
      </c>
      <c r="H326" s="1" t="str">
        <f>"Результат"</f>
        <v>Результат</v>
      </c>
      <c r="I326" s="1" t="str">
        <f>"Позитивний"</f>
        <v>Позитивний</v>
      </c>
      <c r="J326" s="1" t="str">
        <f>"Так"</f>
        <v>Так</v>
      </c>
    </row>
    <row r="327" spans="1:10" ht="105" x14ac:dyDescent="0.25">
      <c r="A327" s="1" t="str">
        <f>"312-2020/27"</f>
        <v>312-2020/27</v>
      </c>
      <c r="B327" s="1" t="str">
        <f t="shared" si="47"/>
        <v>17.01.2020</v>
      </c>
      <c r="C327" s="1" t="str">
        <f t="shared" si="56"/>
        <v>Закрито</v>
      </c>
      <c r="D32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27" s="1" t="str">
        <f>"Земельні питання"</f>
        <v>Земельні питання</v>
      </c>
      <c r="F32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27" s="1" t="str">
        <f>"1"</f>
        <v>1</v>
      </c>
      <c r="H327" s="1" t="str">
        <f>"Результат"</f>
        <v>Результат</v>
      </c>
      <c r="I327" s="1" t="str">
        <f>"Позитивний"</f>
        <v>Позитивний</v>
      </c>
      <c r="J327" s="1" t="str">
        <f>"Ні"</f>
        <v>Ні</v>
      </c>
    </row>
    <row r="328" spans="1:10" ht="45" x14ac:dyDescent="0.25">
      <c r="A328" s="1" t="str">
        <f>"307-2020/27"</f>
        <v>307-2020/27</v>
      </c>
      <c r="B328" s="1" t="str">
        <f t="shared" si="47"/>
        <v>17.01.2020</v>
      </c>
      <c r="C328" s="1" t="str">
        <f t="shared" si="56"/>
        <v>Закрито</v>
      </c>
      <c r="D328" s="1" t="str">
        <f>"Зняття з реєстрації місця проживання"</f>
        <v>Зняття з реєстрації місця проживання</v>
      </c>
      <c r="E328" s="1" t="str">
        <f>"Реєстрація місця проживання"</f>
        <v>Реєстрація місця проживання</v>
      </c>
      <c r="F328" s="1" t="str">
        <f>"Відділ реєстрації Новокаховської міської ради"</f>
        <v>Відділ реєстрації Новокаховської міської ради</v>
      </c>
      <c r="G328" s="1" t="str">
        <f>"1"</f>
        <v>1</v>
      </c>
      <c r="H328" s="1" t="str">
        <f>"Результат"</f>
        <v>Результат</v>
      </c>
      <c r="I328" s="1" t="str">
        <f>"Позитивний"</f>
        <v>Позитивний</v>
      </c>
      <c r="J328" s="1" t="str">
        <f>"Так"</f>
        <v>Так</v>
      </c>
    </row>
    <row r="329" spans="1:10" ht="135" x14ac:dyDescent="0.25">
      <c r="A329" s="1" t="str">
        <f>"301-2020/27"</f>
        <v>301-2020/27</v>
      </c>
      <c r="B329" s="1" t="str">
        <f t="shared" si="47"/>
        <v>17.01.2020</v>
      </c>
      <c r="C329" s="1" t="str">
        <f t="shared" si="56"/>
        <v>Закрито</v>
      </c>
      <c r="D32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29" s="1" t="str">
        <f>"Земельні питання"</f>
        <v>Земельні питання</v>
      </c>
      <c r="F3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29" s="1" t="str">
        <f>"3"</f>
        <v>3</v>
      </c>
      <c r="H329" s="1" t="str">
        <f>"Результат"</f>
        <v>Результат</v>
      </c>
      <c r="I329" s="1" t="str">
        <f>"Позитивний"</f>
        <v>Позитивний</v>
      </c>
      <c r="J329" s="1" t="str">
        <f>"Ні"</f>
        <v>Ні</v>
      </c>
    </row>
    <row r="330" spans="1:10" ht="135" x14ac:dyDescent="0.25">
      <c r="A330" s="1" t="str">
        <f>"310-2020/27"</f>
        <v>310-2020/27</v>
      </c>
      <c r="B330" s="1" t="str">
        <f t="shared" si="47"/>
        <v>17.01.2020</v>
      </c>
      <c r="C330" s="1" t="str">
        <f t="shared" si="56"/>
        <v>Закрито</v>
      </c>
      <c r="D33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30" s="1" t="str">
        <f>"Земельні питання"</f>
        <v>Земельні питання</v>
      </c>
      <c r="F3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30" s="1" t="str">
        <f>"3"</f>
        <v>3</v>
      </c>
      <c r="H330" s="1" t="str">
        <f>"РезультатРезультат"</f>
        <v>РезультатРезультат</v>
      </c>
      <c r="I330" s="1" t="str">
        <f>"ПозитивнийПозитивний"</f>
        <v>ПозитивнийПозитивний</v>
      </c>
      <c r="J330" s="1" t="str">
        <f>"Ні"</f>
        <v>Ні</v>
      </c>
    </row>
    <row r="331" spans="1:10" ht="135" x14ac:dyDescent="0.25">
      <c r="A331" s="1" t="str">
        <f>"302-2020/27"</f>
        <v>302-2020/27</v>
      </c>
      <c r="B331" s="1" t="str">
        <f t="shared" si="47"/>
        <v>17.01.2020</v>
      </c>
      <c r="C331" s="1" t="str">
        <f t="shared" si="56"/>
        <v>Закрито</v>
      </c>
      <c r="D33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31" s="1" t="str">
        <f>"Земельні питання"</f>
        <v>Земельні питання</v>
      </c>
      <c r="F3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31" s="1" t="str">
        <f>"3"</f>
        <v>3</v>
      </c>
      <c r="H331" s="1" t="str">
        <f>"Результат"</f>
        <v>Результат</v>
      </c>
      <c r="I331" s="1" t="str">
        <f t="shared" ref="I331:I351" si="57">"Позитивний"</f>
        <v>Позитивний</v>
      </c>
      <c r="J331" s="1" t="str">
        <f>"Ні"</f>
        <v>Ні</v>
      </c>
    </row>
    <row r="332" spans="1:10" ht="45" x14ac:dyDescent="0.25">
      <c r="A332" s="1" t="str">
        <f>"305-2020/27"</f>
        <v>305-2020/27</v>
      </c>
      <c r="B332" s="1" t="str">
        <f t="shared" si="47"/>
        <v>17.01.2020</v>
      </c>
      <c r="C332" s="1" t="str">
        <f t="shared" si="56"/>
        <v>Закрито</v>
      </c>
      <c r="D332" s="1" t="str">
        <f>"Зняття з реєстрації місця проживання"</f>
        <v>Зняття з реєстрації місця проживання</v>
      </c>
      <c r="E332" s="1" t="str">
        <f>"Реєстрація місця проживання"</f>
        <v>Реєстрація місця проживання</v>
      </c>
      <c r="F332" s="1" t="str">
        <f>"Відділ реєстрації Новокаховської міської ради"</f>
        <v>Відділ реєстрації Новокаховської міської ради</v>
      </c>
      <c r="G332" s="1" t="str">
        <f>"1"</f>
        <v>1</v>
      </c>
      <c r="H332" s="1" t="str">
        <f>"Результат"</f>
        <v>Результат</v>
      </c>
      <c r="I332" s="1" t="str">
        <f t="shared" si="57"/>
        <v>Позитивний</v>
      </c>
      <c r="J332" s="1" t="str">
        <f>"Так"</f>
        <v>Так</v>
      </c>
    </row>
    <row r="333" spans="1:10" ht="120" x14ac:dyDescent="0.25">
      <c r="A333" s="1" t="str">
        <f>"309-2020/27"</f>
        <v>309-2020/27</v>
      </c>
      <c r="B333" s="1" t="str">
        <f t="shared" si="47"/>
        <v>17.01.2020</v>
      </c>
      <c r="C333" s="1" t="str">
        <f t="shared" si="56"/>
        <v>Закрито</v>
      </c>
      <c r="D333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33" s="1" t="str">
        <f>"Будівництво"</f>
        <v>Будівництво</v>
      </c>
      <c r="F33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33" s="1" t="str">
        <f>"10"</f>
        <v>10</v>
      </c>
      <c r="H333" s="1" t="str">
        <f>"Результат"</f>
        <v>Результат</v>
      </c>
      <c r="I333" s="1" t="str">
        <f t="shared" si="57"/>
        <v>Позитивний</v>
      </c>
      <c r="J333" s="1" t="str">
        <f>"Ні"</f>
        <v>Ні</v>
      </c>
    </row>
    <row r="334" spans="1:10" ht="135" x14ac:dyDescent="0.25">
      <c r="A334" s="1" t="str">
        <f>"290-2020/27"</f>
        <v>290-2020/27</v>
      </c>
      <c r="B334" s="1" t="str">
        <f t="shared" si="47"/>
        <v>17.01.2020</v>
      </c>
      <c r="C334" s="1" t="str">
        <f t="shared" si="56"/>
        <v>Закрито</v>
      </c>
      <c r="D33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34" s="1" t="str">
        <f>"Земельні питання"</f>
        <v>Земельні питання</v>
      </c>
      <c r="F3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34" s="1" t="str">
        <f>"14"</f>
        <v>14</v>
      </c>
      <c r="H334" s="1" t="str">
        <f>"Результат"</f>
        <v>Результат</v>
      </c>
      <c r="I334" s="1" t="str">
        <f t="shared" si="57"/>
        <v>Позитивний</v>
      </c>
      <c r="J334" s="1" t="str">
        <f>"Ні"</f>
        <v>Ні</v>
      </c>
    </row>
    <row r="335" spans="1:10" ht="45" x14ac:dyDescent="0.25">
      <c r="A335" s="1" t="str">
        <f>"330-2020/27"</f>
        <v>330-2020/27</v>
      </c>
      <c r="B335" s="1" t="str">
        <f t="shared" ref="B335:B359" si="58">"20.01.2020"</f>
        <v>20.01.2020</v>
      </c>
      <c r="C335" s="1" t="str">
        <f t="shared" si="56"/>
        <v>Закрито</v>
      </c>
      <c r="D335" s="1" t="str">
        <f>"Реєстрація місця проживання особи"</f>
        <v>Реєстрація місця проживання особи</v>
      </c>
      <c r="E335" s="1" t="str">
        <f>"Реєстрація місця проживання"</f>
        <v>Реєстрація місця проживання</v>
      </c>
      <c r="F335" s="1" t="str">
        <f>"Відділ реєстрації Новокаховської міської ради"</f>
        <v>Відділ реєстрації Новокаховської міської ради</v>
      </c>
      <c r="G335" s="1" t="str">
        <f>"1"</f>
        <v>1</v>
      </c>
      <c r="H335" s="1" t="str">
        <f>"Результат"</f>
        <v>Результат</v>
      </c>
      <c r="I335" s="1" t="str">
        <f t="shared" si="57"/>
        <v>Позитивний</v>
      </c>
      <c r="J335" s="1" t="str">
        <f>"Так"</f>
        <v>Так</v>
      </c>
    </row>
    <row r="336" spans="1:10" ht="105" x14ac:dyDescent="0.25">
      <c r="A336" s="1" t="str">
        <f>"351-2020/27"</f>
        <v>351-2020/27</v>
      </c>
      <c r="B336" s="1" t="str">
        <f t="shared" si="58"/>
        <v>20.01.2020</v>
      </c>
      <c r="C336" s="1" t="str">
        <f t="shared" si="56"/>
        <v>Закрито</v>
      </c>
      <c r="D33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36" s="1" t="str">
        <f>"Земельні питання"</f>
        <v>Земельні питання</v>
      </c>
      <c r="F33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36" s="1" t="str">
        <f>"1"</f>
        <v>1</v>
      </c>
      <c r="H336" s="1" t="str">
        <f>"Результат"</f>
        <v>Результат</v>
      </c>
      <c r="I336" s="1" t="str">
        <f t="shared" si="57"/>
        <v>Позитивний</v>
      </c>
      <c r="J336" s="1" t="str">
        <f>"Так"</f>
        <v>Так</v>
      </c>
    </row>
    <row r="337" spans="1:10" ht="105" x14ac:dyDescent="0.25">
      <c r="A337" s="1" t="str">
        <f>"352-2020/27"</f>
        <v>352-2020/27</v>
      </c>
      <c r="B337" s="1" t="str">
        <f t="shared" si="58"/>
        <v>20.01.2020</v>
      </c>
      <c r="C337" s="1" t="str">
        <f t="shared" si="56"/>
        <v>Закрито</v>
      </c>
      <c r="D3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37" s="1" t="str">
        <f>"Земельні питання"</f>
        <v>Земельні питання</v>
      </c>
      <c r="F33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37" s="1" t="str">
        <f>"1"</f>
        <v>1</v>
      </c>
      <c r="H337" s="1" t="str">
        <f>"Результат"</f>
        <v>Результат</v>
      </c>
      <c r="I337" s="1" t="str">
        <f t="shared" si="57"/>
        <v>Позитивний</v>
      </c>
      <c r="J337" s="1" t="str">
        <f>"Так"</f>
        <v>Так</v>
      </c>
    </row>
    <row r="338" spans="1:10" ht="135" x14ac:dyDescent="0.25">
      <c r="A338" s="1" t="str">
        <f>"347-2020/27"</f>
        <v>347-2020/27</v>
      </c>
      <c r="B338" s="1" t="str">
        <f t="shared" si="58"/>
        <v>20.01.2020</v>
      </c>
      <c r="C338" s="1" t="str">
        <f t="shared" si="56"/>
        <v>Закрито</v>
      </c>
      <c r="D33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38" s="1" t="str">
        <f>"Земельні питання"</f>
        <v>Земельні питання</v>
      </c>
      <c r="F3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38" s="1" t="str">
        <f>"14"</f>
        <v>14</v>
      </c>
      <c r="H338" s="1" t="str">
        <f>"Результат"</f>
        <v>Результат</v>
      </c>
      <c r="I338" s="1" t="str">
        <f t="shared" si="57"/>
        <v>Позитивний</v>
      </c>
      <c r="J338" s="1" t="str">
        <f>"Ні"</f>
        <v>Ні</v>
      </c>
    </row>
    <row r="339" spans="1:10" ht="105" x14ac:dyDescent="0.25">
      <c r="A339" s="1" t="str">
        <f>"350-2020/27"</f>
        <v>350-2020/27</v>
      </c>
      <c r="B339" s="1" t="str">
        <f t="shared" si="58"/>
        <v>20.01.2020</v>
      </c>
      <c r="C339" s="1" t="str">
        <f t="shared" si="56"/>
        <v>Закрито</v>
      </c>
      <c r="D33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39" s="1" t="str">
        <f>"Земельні питання"</f>
        <v>Земельні питання</v>
      </c>
      <c r="F33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39" s="1" t="str">
        <f>"1"</f>
        <v>1</v>
      </c>
      <c r="H339" s="1" t="str">
        <f>"Результат"</f>
        <v>Результат</v>
      </c>
      <c r="I339" s="1" t="str">
        <f t="shared" si="57"/>
        <v>Позитивний</v>
      </c>
      <c r="J339" s="1" t="str">
        <f>"Так"</f>
        <v>Так</v>
      </c>
    </row>
    <row r="340" spans="1:10" ht="45" x14ac:dyDescent="0.25">
      <c r="A340" s="1" t="str">
        <f>"331-2020/27"</f>
        <v>331-2020/27</v>
      </c>
      <c r="B340" s="1" t="str">
        <f t="shared" si="58"/>
        <v>20.01.2020</v>
      </c>
      <c r="C340" s="1" t="str">
        <f t="shared" si="56"/>
        <v>Закрито</v>
      </c>
      <c r="D340" s="1" t="str">
        <f>"Реєстрація місця проживання особи"</f>
        <v>Реєстрація місця проживання особи</v>
      </c>
      <c r="E340" s="1" t="str">
        <f>"Реєстрація місця проживання"</f>
        <v>Реєстрація місця проживання</v>
      </c>
      <c r="F340" s="1" t="str">
        <f>"Відділ реєстрації Новокаховської міської ради"</f>
        <v>Відділ реєстрації Новокаховської міської ради</v>
      </c>
      <c r="G340" s="1" t="str">
        <f>"1"</f>
        <v>1</v>
      </c>
      <c r="H340" s="1" t="str">
        <f>"Результат"</f>
        <v>Результат</v>
      </c>
      <c r="I340" s="1" t="str">
        <f t="shared" si="57"/>
        <v>Позитивний</v>
      </c>
      <c r="J340" s="1" t="str">
        <f>"Так"</f>
        <v>Так</v>
      </c>
    </row>
    <row r="341" spans="1:10" ht="90" x14ac:dyDescent="0.25">
      <c r="A341" s="1" t="str">
        <f>"336-2020/27"</f>
        <v>336-2020/27</v>
      </c>
      <c r="B341" s="1" t="str">
        <f t="shared" si="58"/>
        <v>20.01.2020</v>
      </c>
      <c r="C341" s="1" t="str">
        <f t="shared" si="56"/>
        <v>Закрито</v>
      </c>
      <c r="D34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41" s="1" t="str">
        <f>"Інші послуги"</f>
        <v>Інші послуги</v>
      </c>
      <c r="F34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41" s="1" t="str">
        <f>"5"</f>
        <v>5</v>
      </c>
      <c r="H341" s="1" t="str">
        <f>"Результат"</f>
        <v>Результат</v>
      </c>
      <c r="I341" s="1" t="str">
        <f t="shared" si="57"/>
        <v>Позитивний</v>
      </c>
      <c r="J341" s="1" t="str">
        <f>"Ні"</f>
        <v>Ні</v>
      </c>
    </row>
    <row r="342" spans="1:10" ht="45" x14ac:dyDescent="0.25">
      <c r="A342" s="1" t="str">
        <f>"348-2020/27"</f>
        <v>348-2020/27</v>
      </c>
      <c r="B342" s="1" t="str">
        <f t="shared" si="58"/>
        <v>20.01.2020</v>
      </c>
      <c r="C342" s="1" t="str">
        <f t="shared" si="56"/>
        <v>Закрито</v>
      </c>
      <c r="D342" s="1" t="str">
        <f>"Зняття з реєстрації місця проживання"</f>
        <v>Зняття з реєстрації місця проживання</v>
      </c>
      <c r="E342" s="1" t="str">
        <f>"Реєстрація місця проживання"</f>
        <v>Реєстрація місця проживання</v>
      </c>
      <c r="F342" s="1" t="str">
        <f>"Відділ реєстрації Новокаховської міської ради"</f>
        <v>Відділ реєстрації Новокаховської міської ради</v>
      </c>
      <c r="G342" s="1" t="str">
        <f>"1"</f>
        <v>1</v>
      </c>
      <c r="H342" s="1" t="str">
        <f>"Результат"</f>
        <v>Результат</v>
      </c>
      <c r="I342" s="1" t="str">
        <f t="shared" si="57"/>
        <v>Позитивний</v>
      </c>
      <c r="J342" s="1" t="str">
        <f>"Так"</f>
        <v>Так</v>
      </c>
    </row>
    <row r="343" spans="1:10" ht="135" x14ac:dyDescent="0.25">
      <c r="A343" s="1" t="str">
        <f>"344-2020/27"</f>
        <v>344-2020/27</v>
      </c>
      <c r="B343" s="1" t="str">
        <f t="shared" si="58"/>
        <v>20.01.2020</v>
      </c>
      <c r="C343" s="1" t="str">
        <f t="shared" si="56"/>
        <v>Закрито</v>
      </c>
      <c r="D34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43" s="1" t="str">
        <f>"Земельні питання"</f>
        <v>Земельні питання</v>
      </c>
      <c r="F3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43" s="1" t="str">
        <f>"1"</f>
        <v>1</v>
      </c>
      <c r="H343" s="1" t="str">
        <f>"Результат"</f>
        <v>Результат</v>
      </c>
      <c r="I343" s="1" t="str">
        <f t="shared" si="57"/>
        <v>Позитивний</v>
      </c>
      <c r="J343" s="1" t="str">
        <f>"Так"</f>
        <v>Так</v>
      </c>
    </row>
    <row r="344" spans="1:10" ht="90" x14ac:dyDescent="0.25">
      <c r="A344" s="1" t="str">
        <f>"338-2020/27"</f>
        <v>338-2020/27</v>
      </c>
      <c r="B344" s="1" t="str">
        <f t="shared" si="58"/>
        <v>20.01.2020</v>
      </c>
      <c r="C344" s="1" t="str">
        <f t="shared" si="56"/>
        <v>Закрито</v>
      </c>
      <c r="D3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44" s="1" t="str">
        <f>"Інші послуги"</f>
        <v>Інші послуги</v>
      </c>
      <c r="F3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44" s="1" t="str">
        <f>"5"</f>
        <v>5</v>
      </c>
      <c r="H344" s="1" t="str">
        <f>"Результат"</f>
        <v>Результат</v>
      </c>
      <c r="I344" s="1" t="str">
        <f t="shared" si="57"/>
        <v>Позитивний</v>
      </c>
      <c r="J344" s="1" t="str">
        <f>"Ні"</f>
        <v>Ні</v>
      </c>
    </row>
    <row r="345" spans="1:10" ht="135" x14ac:dyDescent="0.25">
      <c r="A345" s="1" t="str">
        <f>"332-2020/27"</f>
        <v>332-2020/27</v>
      </c>
      <c r="B345" s="1" t="str">
        <f t="shared" si="58"/>
        <v>20.01.2020</v>
      </c>
      <c r="C345" s="1" t="str">
        <f t="shared" si="56"/>
        <v>Закрито</v>
      </c>
      <c r="D3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45" s="1" t="str">
        <f>"Земельні питання"</f>
        <v>Земельні питання</v>
      </c>
      <c r="F3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45" s="1" t="str">
        <f>"3"</f>
        <v>3</v>
      </c>
      <c r="H345" s="1" t="str">
        <f>"Результат"</f>
        <v>Результат</v>
      </c>
      <c r="I345" s="1" t="str">
        <f t="shared" si="57"/>
        <v>Позитивний</v>
      </c>
      <c r="J345" s="1" t="str">
        <f>"Ні"</f>
        <v>Ні</v>
      </c>
    </row>
    <row r="346" spans="1:10" ht="45" x14ac:dyDescent="0.25">
      <c r="A346" s="1" t="str">
        <f>"340-2020/27"</f>
        <v>340-2020/27</v>
      </c>
      <c r="B346" s="1" t="str">
        <f t="shared" si="58"/>
        <v>20.01.2020</v>
      </c>
      <c r="C346" s="1" t="str">
        <f t="shared" si="56"/>
        <v>Закрито</v>
      </c>
      <c r="D346" s="1" t="str">
        <f>"Реєстрація місця проживання особи"</f>
        <v>Реєстрація місця проживання особи</v>
      </c>
      <c r="E346" s="1" t="str">
        <f>"Реєстрація місця проживання"</f>
        <v>Реєстрація місця проживання</v>
      </c>
      <c r="F346" s="1" t="str">
        <f>"Відділ реєстрації Новокаховської міської ради"</f>
        <v>Відділ реєстрації Новокаховської міської ради</v>
      </c>
      <c r="G346" s="1" t="str">
        <f>"1"</f>
        <v>1</v>
      </c>
      <c r="H346" s="1" t="str">
        <f>"Результат"</f>
        <v>Результат</v>
      </c>
      <c r="I346" s="1" t="str">
        <f t="shared" si="57"/>
        <v>Позитивний</v>
      </c>
      <c r="J346" s="1" t="str">
        <f>"Так"</f>
        <v>Так</v>
      </c>
    </row>
    <row r="347" spans="1:10" ht="135" x14ac:dyDescent="0.25">
      <c r="A347" s="1" t="str">
        <f>"333-2020/27"</f>
        <v>333-2020/27</v>
      </c>
      <c r="B347" s="1" t="str">
        <f t="shared" si="58"/>
        <v>20.01.2020</v>
      </c>
      <c r="C347" s="1" t="str">
        <f t="shared" si="56"/>
        <v>Закрито</v>
      </c>
      <c r="D34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47" s="1" t="str">
        <f>"Земельні питання"</f>
        <v>Земельні питання</v>
      </c>
      <c r="F3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47" s="1" t="str">
        <f>"3"</f>
        <v>3</v>
      </c>
      <c r="H347" s="1" t="str">
        <f>"Результат"</f>
        <v>Результат</v>
      </c>
      <c r="I347" s="1" t="str">
        <f t="shared" si="57"/>
        <v>Позитивний</v>
      </c>
      <c r="J347" s="1" t="str">
        <f>"Ні"</f>
        <v>Ні</v>
      </c>
    </row>
    <row r="348" spans="1:10" ht="45" x14ac:dyDescent="0.25">
      <c r="A348" s="1" t="str">
        <f>"339-2020/27"</f>
        <v>339-2020/27</v>
      </c>
      <c r="B348" s="1" t="str">
        <f t="shared" si="58"/>
        <v>20.01.2020</v>
      </c>
      <c r="C348" s="1" t="str">
        <f t="shared" si="56"/>
        <v>Закрито</v>
      </c>
      <c r="D348" s="1" t="str">
        <f>"Реєстрація місця проживання особи"</f>
        <v>Реєстрація місця проживання особи</v>
      </c>
      <c r="E348" s="1" t="str">
        <f>"Реєстрація місця проживання"</f>
        <v>Реєстрація місця проживання</v>
      </c>
      <c r="F348" s="1" t="str">
        <f>"Відділ реєстрації Новокаховської міської ради"</f>
        <v>Відділ реєстрації Новокаховської міської ради</v>
      </c>
      <c r="G348" s="1" t="str">
        <f>"1"</f>
        <v>1</v>
      </c>
      <c r="H348" s="1" t="str">
        <f>"Результат"</f>
        <v>Результат</v>
      </c>
      <c r="I348" s="1" t="str">
        <f t="shared" si="57"/>
        <v>Позитивний</v>
      </c>
      <c r="J348" s="1" t="str">
        <f>"Так"</f>
        <v>Так</v>
      </c>
    </row>
    <row r="349" spans="1:10" ht="225" x14ac:dyDescent="0.25">
      <c r="A349" s="1" t="str">
        <f>"335-2020/27"</f>
        <v>335-2020/27</v>
      </c>
      <c r="B349" s="1" t="str">
        <f t="shared" si="58"/>
        <v>20.01.2020</v>
      </c>
      <c r="C349" s="1" t="str">
        <f t="shared" si="56"/>
        <v>Закрито</v>
      </c>
      <c r="D349" s="1" t="s">
        <v>1</v>
      </c>
      <c r="E349" s="1" t="str">
        <f>"Будівництво"</f>
        <v>Будівництво</v>
      </c>
      <c r="F34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49" s="1" t="str">
        <f>"30"</f>
        <v>30</v>
      </c>
      <c r="H349" s="1" t="str">
        <f>"Результат"</f>
        <v>Результат</v>
      </c>
      <c r="I349" s="1" t="str">
        <f t="shared" si="57"/>
        <v>Позитивний</v>
      </c>
      <c r="J349" s="1" t="str">
        <f>"Ні"</f>
        <v>Ні</v>
      </c>
    </row>
    <row r="350" spans="1:10" ht="225" x14ac:dyDescent="0.25">
      <c r="A350" s="1" t="str">
        <f>"349-2020/27"</f>
        <v>349-2020/27</v>
      </c>
      <c r="B350" s="1" t="str">
        <f t="shared" si="58"/>
        <v>20.01.2020</v>
      </c>
      <c r="C350" s="1" t="str">
        <f t="shared" si="56"/>
        <v>Закрито</v>
      </c>
      <c r="D350" s="1" t="s">
        <v>1</v>
      </c>
      <c r="E350" s="1" t="str">
        <f>"Будівництво"</f>
        <v>Будівництво</v>
      </c>
      <c r="F35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50" s="1" t="str">
        <f>"30"</f>
        <v>30</v>
      </c>
      <c r="H350" s="1" t="str">
        <f>"Результат"</f>
        <v>Результат</v>
      </c>
      <c r="I350" s="1" t="str">
        <f t="shared" si="57"/>
        <v>Позитивний</v>
      </c>
      <c r="J350" s="1" t="str">
        <f>"Ні"</f>
        <v>Ні</v>
      </c>
    </row>
    <row r="351" spans="1:10" ht="135" x14ac:dyDescent="0.25">
      <c r="A351" s="1" t="str">
        <f>"337-2020/27"</f>
        <v>337-2020/27</v>
      </c>
      <c r="B351" s="1" t="str">
        <f t="shared" si="58"/>
        <v>20.01.2020</v>
      </c>
      <c r="C351" s="1" t="str">
        <f t="shared" si="56"/>
        <v>Закрито</v>
      </c>
      <c r="D35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51" s="1" t="str">
        <f>"Земельні питання"</f>
        <v>Земельні питання</v>
      </c>
      <c r="F3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51" s="1" t="str">
        <f>"3"</f>
        <v>3</v>
      </c>
      <c r="H351" s="1" t="str">
        <f>"Результат"</f>
        <v>Результат</v>
      </c>
      <c r="I351" s="1" t="str">
        <f t="shared" si="57"/>
        <v>Позитивний</v>
      </c>
      <c r="J351" s="1" t="str">
        <f>"Ні"</f>
        <v>Ні</v>
      </c>
    </row>
    <row r="352" spans="1:10" ht="45" x14ac:dyDescent="0.25">
      <c r="A352" s="1" t="str">
        <f>"343-2020/27"</f>
        <v>343-2020/27</v>
      </c>
      <c r="B352" s="1" t="str">
        <f t="shared" si="58"/>
        <v>20.01.2020</v>
      </c>
      <c r="C352" s="1" t="str">
        <f t="shared" si="56"/>
        <v>Закрито</v>
      </c>
      <c r="D352" s="1" t="str">
        <f>"Реєстрація місця проживання особи"</f>
        <v>Реєстрація місця проживання особи</v>
      </c>
      <c r="E352" s="1" t="str">
        <f>"Реєстрація місця проживання"</f>
        <v>Реєстрація місця проживання</v>
      </c>
      <c r="F352" s="1" t="str">
        <f>"Відділ реєстрації Новокаховської міської ради"</f>
        <v>Відділ реєстрації Новокаховської міської ради</v>
      </c>
      <c r="G352" s="1" t="str">
        <f>"1"</f>
        <v>1</v>
      </c>
      <c r="H352" s="1" t="str">
        <f>"Результат"</f>
        <v>Результат</v>
      </c>
      <c r="I352" s="1" t="str">
        <f>"Мотивована відмова"</f>
        <v>Мотивована відмова</v>
      </c>
      <c r="J352" s="1" t="str">
        <f>"Так"</f>
        <v>Так</v>
      </c>
    </row>
    <row r="353" spans="1:10" ht="45" x14ac:dyDescent="0.25">
      <c r="A353" s="1" t="str">
        <f>"341-2020/27"</f>
        <v>341-2020/27</v>
      </c>
      <c r="B353" s="1" t="str">
        <f t="shared" si="58"/>
        <v>20.01.2020</v>
      </c>
      <c r="C353" s="1" t="str">
        <f t="shared" si="56"/>
        <v>Закрито</v>
      </c>
      <c r="D353" s="1" t="str">
        <f>"Реєстрація місця проживання особи"</f>
        <v>Реєстрація місця проживання особи</v>
      </c>
      <c r="E353" s="1" t="str">
        <f>"Реєстрація місця проживання"</f>
        <v>Реєстрація місця проживання</v>
      </c>
      <c r="F353" s="1" t="str">
        <f>"Відділ реєстрації Новокаховської міської ради"</f>
        <v>Відділ реєстрації Новокаховської міської ради</v>
      </c>
      <c r="G353" s="1" t="str">
        <f>"1"</f>
        <v>1</v>
      </c>
      <c r="H353" s="1" t="str">
        <f>"Результат"</f>
        <v>Результат</v>
      </c>
      <c r="I353" s="1" t="str">
        <f t="shared" ref="I353:I370" si="59">"Позитивний"</f>
        <v>Позитивний</v>
      </c>
      <c r="J353" s="1" t="str">
        <f>"Так"</f>
        <v>Так</v>
      </c>
    </row>
    <row r="354" spans="1:10" ht="90" x14ac:dyDescent="0.25">
      <c r="A354" s="1" t="str">
        <f>"334-2020/27"</f>
        <v>334-2020/27</v>
      </c>
      <c r="B354" s="1" t="str">
        <f t="shared" si="58"/>
        <v>20.01.2020</v>
      </c>
      <c r="C354" s="1" t="str">
        <f t="shared" si="56"/>
        <v>Закрито</v>
      </c>
      <c r="D35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54" s="1" t="str">
        <f>"Інші послуги"</f>
        <v>Інші послуги</v>
      </c>
      <c r="F35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54" s="1" t="str">
        <f>"5"</f>
        <v>5</v>
      </c>
      <c r="H354" s="1" t="str">
        <f>"Результат"</f>
        <v>Результат</v>
      </c>
      <c r="I354" s="1" t="str">
        <f t="shared" si="59"/>
        <v>Позитивний</v>
      </c>
      <c r="J354" s="1" t="str">
        <f>"Ні"</f>
        <v>Ні</v>
      </c>
    </row>
    <row r="355" spans="1:10" ht="105" x14ac:dyDescent="0.25">
      <c r="A355" s="1" t="str">
        <f>"353-2020/27"</f>
        <v>353-2020/27</v>
      </c>
      <c r="B355" s="1" t="str">
        <f t="shared" si="58"/>
        <v>20.01.2020</v>
      </c>
      <c r="C355" s="1" t="str">
        <f t="shared" si="56"/>
        <v>Закрито</v>
      </c>
      <c r="D35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55" s="1" t="str">
        <f>"Земельні питання"</f>
        <v>Земельні питання</v>
      </c>
      <c r="F35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55" s="1" t="str">
        <f>"1"</f>
        <v>1</v>
      </c>
      <c r="H355" s="1" t="str">
        <f>"Результат"</f>
        <v>Результат</v>
      </c>
      <c r="I355" s="1" t="str">
        <f t="shared" si="59"/>
        <v>Позитивний</v>
      </c>
      <c r="J355" s="1" t="str">
        <f>"Так"</f>
        <v>Так</v>
      </c>
    </row>
    <row r="356" spans="1:10" ht="135" x14ac:dyDescent="0.25">
      <c r="A356" s="1" t="str">
        <f>"345-2020/27"</f>
        <v>345-2020/27</v>
      </c>
      <c r="B356" s="1" t="str">
        <f t="shared" si="58"/>
        <v>20.01.2020</v>
      </c>
      <c r="C356" s="1" t="str">
        <f t="shared" si="56"/>
        <v>Закрито</v>
      </c>
      <c r="D35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56" s="1" t="str">
        <f>"Земельні питання"</f>
        <v>Земельні питання</v>
      </c>
      <c r="F3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56" s="1" t="str">
        <f>"1"</f>
        <v>1</v>
      </c>
      <c r="H356" s="1" t="str">
        <f>"Результат"</f>
        <v>Результат</v>
      </c>
      <c r="I356" s="1" t="str">
        <f t="shared" si="59"/>
        <v>Позитивний</v>
      </c>
      <c r="J356" s="1" t="str">
        <f>"Ні"</f>
        <v>Ні</v>
      </c>
    </row>
    <row r="357" spans="1:10" ht="45" x14ac:dyDescent="0.25">
      <c r="A357" s="1" t="str">
        <f>"329-2020/27"</f>
        <v>329-2020/27</v>
      </c>
      <c r="B357" s="1" t="str">
        <f t="shared" si="58"/>
        <v>20.01.2020</v>
      </c>
      <c r="C357" s="1" t="str">
        <f t="shared" si="56"/>
        <v>Закрито</v>
      </c>
      <c r="D357" s="1" t="str">
        <f>"Реєстрація місця проживання особи"</f>
        <v>Реєстрація місця проживання особи</v>
      </c>
      <c r="E357" s="1" t="str">
        <f>"Реєстрація місця проживання"</f>
        <v>Реєстрація місця проживання</v>
      </c>
      <c r="F357" s="1" t="str">
        <f>"Відділ реєстрації Новокаховської міської ради"</f>
        <v>Відділ реєстрації Новокаховської міської ради</v>
      </c>
      <c r="G357" s="1" t="str">
        <f>"1"</f>
        <v>1</v>
      </c>
      <c r="H357" s="1" t="str">
        <f>"Результат"</f>
        <v>Результат</v>
      </c>
      <c r="I357" s="1" t="str">
        <f t="shared" si="59"/>
        <v>Позитивний</v>
      </c>
      <c r="J357" s="1" t="str">
        <f>"Так"</f>
        <v>Так</v>
      </c>
    </row>
    <row r="358" spans="1:10" ht="45" x14ac:dyDescent="0.25">
      <c r="A358" s="1" t="str">
        <f>"342-2020/27"</f>
        <v>342-2020/27</v>
      </c>
      <c r="B358" s="1" t="str">
        <f t="shared" si="58"/>
        <v>20.01.2020</v>
      </c>
      <c r="C358" s="1" t="str">
        <f t="shared" si="56"/>
        <v>Закрито</v>
      </c>
      <c r="D358" s="1" t="str">
        <f>"Реєстрація місця проживання особи"</f>
        <v>Реєстрація місця проживання особи</v>
      </c>
      <c r="E358" s="1" t="str">
        <f>"Реєстрація місця проживання"</f>
        <v>Реєстрація місця проживання</v>
      </c>
      <c r="F358" s="1" t="str">
        <f>"Відділ реєстрації Новокаховської міської ради"</f>
        <v>Відділ реєстрації Новокаховської міської ради</v>
      </c>
      <c r="G358" s="1" t="str">
        <f>"1"</f>
        <v>1</v>
      </c>
      <c r="H358" s="1" t="str">
        <f>"Результат"</f>
        <v>Результат</v>
      </c>
      <c r="I358" s="1" t="str">
        <f t="shared" si="59"/>
        <v>Позитивний</v>
      </c>
      <c r="J358" s="1" t="str">
        <f>"Так"</f>
        <v>Так</v>
      </c>
    </row>
    <row r="359" spans="1:10" ht="135" x14ac:dyDescent="0.25">
      <c r="A359" s="1" t="str">
        <f>"346-2020/27"</f>
        <v>346-2020/27</v>
      </c>
      <c r="B359" s="1" t="str">
        <f t="shared" si="58"/>
        <v>20.01.2020</v>
      </c>
      <c r="C359" s="1" t="str">
        <f t="shared" si="56"/>
        <v>Закрито</v>
      </c>
      <c r="D35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59" s="1" t="str">
        <f>"Земельні питання"</f>
        <v>Земельні питання</v>
      </c>
      <c r="F3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59" s="1" t="str">
        <f>"14"</f>
        <v>14</v>
      </c>
      <c r="H359" s="1" t="str">
        <f>"Результат"</f>
        <v>Результат</v>
      </c>
      <c r="I359" s="1" t="str">
        <f t="shared" si="59"/>
        <v>Позитивний</v>
      </c>
      <c r="J359" s="1" t="str">
        <f>"Ні"</f>
        <v>Ні</v>
      </c>
    </row>
    <row r="360" spans="1:10" ht="45" x14ac:dyDescent="0.25">
      <c r="A360" s="1" t="str">
        <f>"356-2020/27"</f>
        <v>356-2020/27</v>
      </c>
      <c r="B360" s="1" t="str">
        <f t="shared" ref="B360:B386" si="60">"21.01.2020"</f>
        <v>21.01.2020</v>
      </c>
      <c r="C360" s="1" t="str">
        <f t="shared" si="56"/>
        <v>Закрито</v>
      </c>
      <c r="D360" s="1" t="str">
        <f>"Реєстрація місця проживання особи"</f>
        <v>Реєстрація місця проживання особи</v>
      </c>
      <c r="E360" s="1" t="str">
        <f>"Реєстрація місця проживання"</f>
        <v>Реєстрація місця проживання</v>
      </c>
      <c r="F360" s="1" t="str">
        <f>"Відділ реєстрації Новокаховської міської ради"</f>
        <v>Відділ реєстрації Новокаховської міської ради</v>
      </c>
      <c r="G360" s="1" t="str">
        <f>"1"</f>
        <v>1</v>
      </c>
      <c r="H360" s="1" t="str">
        <f>"Результат"</f>
        <v>Результат</v>
      </c>
      <c r="I360" s="1" t="str">
        <f t="shared" si="59"/>
        <v>Позитивний</v>
      </c>
      <c r="J360" s="1" t="str">
        <f>"Так"</f>
        <v>Так</v>
      </c>
    </row>
    <row r="361" spans="1:10" ht="45" x14ac:dyDescent="0.25">
      <c r="A361" s="1" t="str">
        <f>"357-2020/27"</f>
        <v>357-2020/27</v>
      </c>
      <c r="B361" s="1" t="str">
        <f t="shared" si="60"/>
        <v>21.01.2020</v>
      </c>
      <c r="C361" s="1" t="str">
        <f t="shared" si="56"/>
        <v>Закрито</v>
      </c>
      <c r="D361" s="1" t="str">
        <f>"Реєстрація місця проживання особи"</f>
        <v>Реєстрація місця проживання особи</v>
      </c>
      <c r="E361" s="1" t="str">
        <f>"Реєстрація місця проживання"</f>
        <v>Реєстрація місця проживання</v>
      </c>
      <c r="F361" s="1" t="str">
        <f>"Відділ реєстрації Новокаховської міської ради"</f>
        <v>Відділ реєстрації Новокаховської міської ради</v>
      </c>
      <c r="G361" s="1" t="str">
        <f>"1"</f>
        <v>1</v>
      </c>
      <c r="H361" s="1" t="str">
        <f>"Результат"</f>
        <v>Результат</v>
      </c>
      <c r="I361" s="1" t="str">
        <f t="shared" si="59"/>
        <v>Позитивний</v>
      </c>
      <c r="J361" s="1" t="str">
        <f>"Так"</f>
        <v>Так</v>
      </c>
    </row>
    <row r="362" spans="1:10" ht="135" x14ac:dyDescent="0.25">
      <c r="A362" s="1" t="str">
        <f>"379-2020/27"</f>
        <v>379-2020/27</v>
      </c>
      <c r="B362" s="1" t="str">
        <f t="shared" si="60"/>
        <v>21.01.2020</v>
      </c>
      <c r="C362" s="1" t="str">
        <f t="shared" si="56"/>
        <v>Закрито</v>
      </c>
      <c r="D36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62" s="1" t="str">
        <f>"Земельні питання"</f>
        <v>Земельні питання</v>
      </c>
      <c r="F3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62" s="1" t="str">
        <f>"3"</f>
        <v>3</v>
      </c>
      <c r="H362" s="1" t="str">
        <f>"Результат"</f>
        <v>Результат</v>
      </c>
      <c r="I362" s="1" t="str">
        <f t="shared" si="59"/>
        <v>Позитивний</v>
      </c>
      <c r="J362" s="1" t="str">
        <f>"Ні"</f>
        <v>Ні</v>
      </c>
    </row>
    <row r="363" spans="1:10" ht="105" x14ac:dyDescent="0.25">
      <c r="A363" s="1" t="str">
        <f>"363-2020/27"</f>
        <v>363-2020/27</v>
      </c>
      <c r="B363" s="1" t="str">
        <f t="shared" si="60"/>
        <v>21.01.2020</v>
      </c>
      <c r="C363" s="1" t="str">
        <f t="shared" si="56"/>
        <v>Закрито</v>
      </c>
      <c r="D36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63" s="1" t="str">
        <f>"Земельні питання"</f>
        <v>Земельні питання</v>
      </c>
      <c r="F36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63" s="1" t="str">
        <f>"1"</f>
        <v>1</v>
      </c>
      <c r="H363" s="1" t="str">
        <f>"Результат"</f>
        <v>Результат</v>
      </c>
      <c r="I363" s="1" t="str">
        <f t="shared" si="59"/>
        <v>Позитивний</v>
      </c>
      <c r="J363" s="1" t="str">
        <f>"Так"</f>
        <v>Так</v>
      </c>
    </row>
    <row r="364" spans="1:10" ht="135" x14ac:dyDescent="0.25">
      <c r="A364" s="1" t="str">
        <f>"359-2020/27"</f>
        <v>359-2020/27</v>
      </c>
      <c r="B364" s="1" t="str">
        <f t="shared" si="60"/>
        <v>21.01.2020</v>
      </c>
      <c r="C364" s="1" t="str">
        <f t="shared" si="56"/>
        <v>Закрито</v>
      </c>
      <c r="D3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64" s="1" t="str">
        <f>"Земельні питання"</f>
        <v>Земельні питання</v>
      </c>
      <c r="F3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64" s="1" t="str">
        <f>"3"</f>
        <v>3</v>
      </c>
      <c r="H364" s="1" t="str">
        <f>"Результат"</f>
        <v>Результат</v>
      </c>
      <c r="I364" s="1" t="str">
        <f t="shared" si="59"/>
        <v>Позитивний</v>
      </c>
      <c r="J364" s="1" t="str">
        <f>"Ні"</f>
        <v>Ні</v>
      </c>
    </row>
    <row r="365" spans="1:10" ht="135" x14ac:dyDescent="0.25">
      <c r="A365" s="1" t="str">
        <f>"378-2020/27"</f>
        <v>378-2020/27</v>
      </c>
      <c r="B365" s="1" t="str">
        <f t="shared" si="60"/>
        <v>21.01.2020</v>
      </c>
      <c r="C365" s="1" t="str">
        <f t="shared" si="56"/>
        <v>Закрито</v>
      </c>
      <c r="D36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65" s="1" t="str">
        <f>"Земельні питання"</f>
        <v>Земельні питання</v>
      </c>
      <c r="F3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65" s="1" t="str">
        <f>"3"</f>
        <v>3</v>
      </c>
      <c r="H365" s="1" t="str">
        <f>"Результат"</f>
        <v>Результат</v>
      </c>
      <c r="I365" s="1" t="str">
        <f t="shared" si="59"/>
        <v>Позитивний</v>
      </c>
      <c r="J365" s="1" t="str">
        <f>"Ні"</f>
        <v>Ні</v>
      </c>
    </row>
    <row r="366" spans="1:10" ht="135" x14ac:dyDescent="0.25">
      <c r="A366" s="1" t="str">
        <f>"375-2020/27"</f>
        <v>375-2020/27</v>
      </c>
      <c r="B366" s="1" t="str">
        <f t="shared" si="60"/>
        <v>21.01.2020</v>
      </c>
      <c r="C366" s="1" t="str">
        <f t="shared" si="56"/>
        <v>Закрито</v>
      </c>
      <c r="D3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66" s="1" t="str">
        <f>"Земельні питання"</f>
        <v>Земельні питання</v>
      </c>
      <c r="F3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66" s="1" t="str">
        <f>"3"</f>
        <v>3</v>
      </c>
      <c r="H366" s="1" t="str">
        <f>"Результат"</f>
        <v>Результат</v>
      </c>
      <c r="I366" s="1" t="str">
        <f t="shared" si="59"/>
        <v>Позитивний</v>
      </c>
      <c r="J366" s="1" t="str">
        <f>"Ні"</f>
        <v>Ні</v>
      </c>
    </row>
    <row r="367" spans="1:10" ht="45" x14ac:dyDescent="0.25">
      <c r="A367" s="1" t="str">
        <f>"376-2020/27"</f>
        <v>376-2020/27</v>
      </c>
      <c r="B367" s="1" t="str">
        <f t="shared" si="60"/>
        <v>21.01.2020</v>
      </c>
      <c r="C367" s="1" t="str">
        <f t="shared" si="56"/>
        <v>Закрито</v>
      </c>
      <c r="D367" s="1" t="str">
        <f>"Реєстрація місця проживання особи"</f>
        <v>Реєстрація місця проживання особи</v>
      </c>
      <c r="E367" s="1" t="str">
        <f>"Реєстрація місця проживання"</f>
        <v>Реєстрація місця проживання</v>
      </c>
      <c r="F367" s="1" t="str">
        <f>"Відділ реєстрації Новокаховської міської ради"</f>
        <v>Відділ реєстрації Новокаховської міської ради</v>
      </c>
      <c r="G367" s="1" t="str">
        <f>"1"</f>
        <v>1</v>
      </c>
      <c r="H367" s="1" t="str">
        <f>"Результат"</f>
        <v>Результат</v>
      </c>
      <c r="I367" s="1" t="str">
        <f t="shared" si="59"/>
        <v>Позитивний</v>
      </c>
      <c r="J367" s="1" t="str">
        <f>"Так"</f>
        <v>Так</v>
      </c>
    </row>
    <row r="368" spans="1:10" ht="135" x14ac:dyDescent="0.25">
      <c r="A368" s="1" t="str">
        <f>"371-2020/27"</f>
        <v>371-2020/27</v>
      </c>
      <c r="B368" s="1" t="str">
        <f t="shared" si="60"/>
        <v>21.01.2020</v>
      </c>
      <c r="C368" s="1" t="str">
        <f t="shared" si="56"/>
        <v>Закрито</v>
      </c>
      <c r="D36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68" s="1" t="str">
        <f>"Земельні питання"</f>
        <v>Земельні питання</v>
      </c>
      <c r="F3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68" s="1" t="str">
        <f>"3"</f>
        <v>3</v>
      </c>
      <c r="H368" s="1" t="str">
        <f>"Результат"</f>
        <v>Результат</v>
      </c>
      <c r="I368" s="1" t="str">
        <f t="shared" si="59"/>
        <v>Позитивний</v>
      </c>
      <c r="J368" s="1" t="str">
        <f>"Ні"</f>
        <v>Ні</v>
      </c>
    </row>
    <row r="369" spans="1:10" ht="135" x14ac:dyDescent="0.25">
      <c r="A369" s="1" t="str">
        <f>"373-2020/27"</f>
        <v>373-2020/27</v>
      </c>
      <c r="B369" s="1" t="str">
        <f t="shared" si="60"/>
        <v>21.01.2020</v>
      </c>
      <c r="C369" s="1" t="str">
        <f t="shared" si="56"/>
        <v>Закрито</v>
      </c>
      <c r="D3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69" s="1" t="str">
        <f>"Земельні питання"</f>
        <v>Земельні питання</v>
      </c>
      <c r="F3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69" s="1" t="str">
        <f>"3"</f>
        <v>3</v>
      </c>
      <c r="H369" s="1" t="str">
        <f>"Результат"</f>
        <v>Результат</v>
      </c>
      <c r="I369" s="1" t="str">
        <f t="shared" si="59"/>
        <v>Позитивний</v>
      </c>
      <c r="J369" s="1" t="str">
        <f>"Ні"</f>
        <v>Ні</v>
      </c>
    </row>
    <row r="370" spans="1:10" ht="105" x14ac:dyDescent="0.25">
      <c r="A370" s="1" t="str">
        <f>"361-2020/27"</f>
        <v>361-2020/27</v>
      </c>
      <c r="B370" s="1" t="str">
        <f t="shared" si="60"/>
        <v>21.01.2020</v>
      </c>
      <c r="C370" s="1" t="str">
        <f t="shared" si="56"/>
        <v>Закрито</v>
      </c>
      <c r="D3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70" s="1" t="str">
        <f>"Земельні питання"</f>
        <v>Земельні питання</v>
      </c>
      <c r="F37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70" s="1" t="str">
        <f>"1"</f>
        <v>1</v>
      </c>
      <c r="H370" s="1" t="str">
        <f>"Результат"</f>
        <v>Результат</v>
      </c>
      <c r="I370" s="1" t="str">
        <f t="shared" si="59"/>
        <v>Позитивний</v>
      </c>
      <c r="J370" s="1" t="str">
        <f>"Так"</f>
        <v>Так</v>
      </c>
    </row>
    <row r="371" spans="1:10" ht="225" x14ac:dyDescent="0.25">
      <c r="A371" s="1" t="str">
        <f>"360-2020/27"</f>
        <v>360-2020/27</v>
      </c>
      <c r="B371" s="1" t="str">
        <f t="shared" si="60"/>
        <v>21.01.2020</v>
      </c>
      <c r="C371" s="1" t="str">
        <f t="shared" si="56"/>
        <v>Закрито</v>
      </c>
      <c r="D371" s="1" t="s">
        <v>0</v>
      </c>
      <c r="E371" s="1" t="str">
        <f>"Будівництво"</f>
        <v>Будівництво</v>
      </c>
      <c r="F37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71" s="1" t="str">
        <f>"10"</f>
        <v>10</v>
      </c>
      <c r="H371" s="1" t="str">
        <f>"Результат"</f>
        <v>Результат</v>
      </c>
      <c r="I371" s="1" t="str">
        <f>"Мотивована відмова"</f>
        <v>Мотивована відмова</v>
      </c>
      <c r="J371" s="1" t="str">
        <f>"Ні"</f>
        <v>Ні</v>
      </c>
    </row>
    <row r="372" spans="1:10" ht="45" x14ac:dyDescent="0.25">
      <c r="A372" s="1" t="str">
        <f>"380-2020/27"</f>
        <v>380-2020/27</v>
      </c>
      <c r="B372" s="1" t="str">
        <f t="shared" si="60"/>
        <v>21.01.2020</v>
      </c>
      <c r="C372" s="1" t="str">
        <f t="shared" si="56"/>
        <v>Закрито</v>
      </c>
      <c r="D372" s="1" t="str">
        <f>"Реєстрація місця проживання особи"</f>
        <v>Реєстрація місця проживання особи</v>
      </c>
      <c r="E372" s="1" t="str">
        <f>"Реєстрація місця проживання"</f>
        <v>Реєстрація місця проживання</v>
      </c>
      <c r="F372" s="1" t="str">
        <f>"Відділ реєстрації Новокаховської міської ради"</f>
        <v>Відділ реєстрації Новокаховської міської ради</v>
      </c>
      <c r="G372" s="1" t="str">
        <f>"1"</f>
        <v>1</v>
      </c>
      <c r="H372" s="1" t="str">
        <f>"Результат"</f>
        <v>Результат</v>
      </c>
      <c r="I372" s="1" t="str">
        <f t="shared" ref="I372:I380" si="61">"Позитивний"</f>
        <v>Позитивний</v>
      </c>
      <c r="J372" s="1" t="str">
        <f>"Так"</f>
        <v>Так</v>
      </c>
    </row>
    <row r="373" spans="1:10" ht="45" x14ac:dyDescent="0.25">
      <c r="A373" s="1" t="str">
        <f>"358-2020/27"</f>
        <v>358-2020/27</v>
      </c>
      <c r="B373" s="1" t="str">
        <f t="shared" si="60"/>
        <v>21.01.2020</v>
      </c>
      <c r="C373" s="1" t="str">
        <f t="shared" si="56"/>
        <v>Закрито</v>
      </c>
      <c r="D373" s="1" t="str">
        <f>"Реєстрація місця проживання особи"</f>
        <v>Реєстрація місця проживання особи</v>
      </c>
      <c r="E373" s="1" t="str">
        <f>"Реєстрація місця проживання"</f>
        <v>Реєстрація місця проживання</v>
      </c>
      <c r="F373" s="1" t="str">
        <f>"Відділ реєстрації Новокаховської міської ради"</f>
        <v>Відділ реєстрації Новокаховської міської ради</v>
      </c>
      <c r="G373" s="1" t="str">
        <f>"1"</f>
        <v>1</v>
      </c>
      <c r="H373" s="1" t="str">
        <f>"Результат"</f>
        <v>Результат</v>
      </c>
      <c r="I373" s="1" t="str">
        <f t="shared" si="61"/>
        <v>Позитивний</v>
      </c>
      <c r="J373" s="1" t="str">
        <f>"Так"</f>
        <v>Так</v>
      </c>
    </row>
    <row r="374" spans="1:10" ht="45" x14ac:dyDescent="0.25">
      <c r="A374" s="1" t="str">
        <f>"368-2020/27"</f>
        <v>368-2020/27</v>
      </c>
      <c r="B374" s="1" t="str">
        <f t="shared" si="60"/>
        <v>21.01.2020</v>
      </c>
      <c r="C374" s="1" t="str">
        <f t="shared" si="56"/>
        <v>Закрито</v>
      </c>
      <c r="D374" s="1" t="str">
        <f>"Реєстрація місця проживання особи"</f>
        <v>Реєстрація місця проживання особи</v>
      </c>
      <c r="E374" s="1" t="str">
        <f>"Реєстрація місця проживання"</f>
        <v>Реєстрація місця проживання</v>
      </c>
      <c r="F374" s="1" t="str">
        <f>"Відділ реєстрації Новокаховської міської ради"</f>
        <v>Відділ реєстрації Новокаховської міської ради</v>
      </c>
      <c r="G374" s="1" t="str">
        <f>"1"</f>
        <v>1</v>
      </c>
      <c r="H374" s="1" t="str">
        <f>"Результат"</f>
        <v>Результат</v>
      </c>
      <c r="I374" s="1" t="str">
        <f t="shared" si="61"/>
        <v>Позитивний</v>
      </c>
      <c r="J374" s="1" t="str">
        <f>"Так"</f>
        <v>Так</v>
      </c>
    </row>
    <row r="375" spans="1:10" ht="135" x14ac:dyDescent="0.25">
      <c r="A375" s="1" t="str">
        <f>"355-2020/27"</f>
        <v>355-2020/27</v>
      </c>
      <c r="B375" s="1" t="str">
        <f t="shared" si="60"/>
        <v>21.01.2020</v>
      </c>
      <c r="C375" s="1" t="str">
        <f t="shared" si="56"/>
        <v>Закрито</v>
      </c>
      <c r="D37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75" s="1" t="str">
        <f>"Земельні питання"</f>
        <v>Земельні питання</v>
      </c>
      <c r="F3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75" s="1" t="str">
        <f>"3"</f>
        <v>3</v>
      </c>
      <c r="H375" s="1" t="str">
        <f>"Результат"</f>
        <v>Результат</v>
      </c>
      <c r="I375" s="1" t="str">
        <f t="shared" si="61"/>
        <v>Позитивний</v>
      </c>
      <c r="J375" s="1" t="str">
        <f>"Ні"</f>
        <v>Ні</v>
      </c>
    </row>
    <row r="376" spans="1:10" ht="135" x14ac:dyDescent="0.25">
      <c r="A376" s="1" t="str">
        <f>"354-2020/27"</f>
        <v>354-2020/27</v>
      </c>
      <c r="B376" s="1" t="str">
        <f t="shared" si="60"/>
        <v>21.01.2020</v>
      </c>
      <c r="C376" s="1" t="str">
        <f t="shared" si="56"/>
        <v>Закрито</v>
      </c>
      <c r="D37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76" s="1" t="str">
        <f>"Земельні питання"</f>
        <v>Земельні питання</v>
      </c>
      <c r="F3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76" s="1" t="str">
        <f>"3"</f>
        <v>3</v>
      </c>
      <c r="H376" s="1" t="str">
        <f>"Результат"</f>
        <v>Результат</v>
      </c>
      <c r="I376" s="1" t="str">
        <f t="shared" si="61"/>
        <v>Позитивний</v>
      </c>
      <c r="J376" s="1" t="str">
        <f>"Ні"</f>
        <v>Ні</v>
      </c>
    </row>
    <row r="377" spans="1:10" ht="45" x14ac:dyDescent="0.25">
      <c r="A377" s="1" t="str">
        <f>"362-2020/27"</f>
        <v>362-2020/27</v>
      </c>
      <c r="B377" s="1" t="str">
        <f t="shared" si="60"/>
        <v>21.01.2020</v>
      </c>
      <c r="C377" s="1" t="str">
        <f t="shared" si="56"/>
        <v>Закрито</v>
      </c>
      <c r="D377" s="1" t="str">
        <f>"Зняття з реєстрації місця проживання"</f>
        <v>Зняття з реєстрації місця проживання</v>
      </c>
      <c r="E377" s="1" t="str">
        <f>"Реєстрація місця проживання"</f>
        <v>Реєстрація місця проживання</v>
      </c>
      <c r="F377" s="1" t="str">
        <f>"Відділ реєстрації Новокаховської міської ради"</f>
        <v>Відділ реєстрації Новокаховської міської ради</v>
      </c>
      <c r="G377" s="1" t="str">
        <f>"1"</f>
        <v>1</v>
      </c>
      <c r="H377" s="1" t="str">
        <f>"Результат"</f>
        <v>Результат</v>
      </c>
      <c r="I377" s="1" t="str">
        <f t="shared" si="61"/>
        <v>Позитивний</v>
      </c>
      <c r="J377" s="1" t="str">
        <f>"Так"</f>
        <v>Так</v>
      </c>
    </row>
    <row r="378" spans="1:10" ht="135" x14ac:dyDescent="0.25">
      <c r="A378" s="1" t="str">
        <f>"364-2020/27"</f>
        <v>364-2020/27</v>
      </c>
      <c r="B378" s="1" t="str">
        <f t="shared" si="60"/>
        <v>21.01.2020</v>
      </c>
      <c r="C378" s="1" t="str">
        <f t="shared" si="56"/>
        <v>Закрито</v>
      </c>
      <c r="D37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78" s="1" t="str">
        <f>"Земельні питання"</f>
        <v>Земельні питання</v>
      </c>
      <c r="F3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78" s="1" t="str">
        <f>"3"</f>
        <v>3</v>
      </c>
      <c r="H378" s="1" t="str">
        <f>"Результат"</f>
        <v>Результат</v>
      </c>
      <c r="I378" s="1" t="str">
        <f t="shared" si="61"/>
        <v>Позитивний</v>
      </c>
      <c r="J378" s="1" t="str">
        <f>"Ні"</f>
        <v>Ні</v>
      </c>
    </row>
    <row r="379" spans="1:10" ht="45" x14ac:dyDescent="0.25">
      <c r="A379" s="1" t="str">
        <f>"366-2020/27"</f>
        <v>366-2020/27</v>
      </c>
      <c r="B379" s="1" t="str">
        <f t="shared" si="60"/>
        <v>21.01.2020</v>
      </c>
      <c r="C379" s="1" t="str">
        <f t="shared" si="56"/>
        <v>Закрито</v>
      </c>
      <c r="D379" s="1" t="str">
        <f>"Зняття з реєстрації місця проживання"</f>
        <v>Зняття з реєстрації місця проживання</v>
      </c>
      <c r="E379" s="1" t="str">
        <f>"Реєстрація місця проживання"</f>
        <v>Реєстрація місця проживання</v>
      </c>
      <c r="F379" s="1" t="str">
        <f>"Відділ реєстрації Новокаховської міської ради"</f>
        <v>Відділ реєстрації Новокаховської міської ради</v>
      </c>
      <c r="G379" s="1" t="str">
        <f>"1"</f>
        <v>1</v>
      </c>
      <c r="H379" s="1" t="str">
        <f>"Результат"</f>
        <v>Результат</v>
      </c>
      <c r="I379" s="1" t="str">
        <f t="shared" si="61"/>
        <v>Позитивний</v>
      </c>
      <c r="J379" s="1" t="str">
        <f>"Так"</f>
        <v>Так</v>
      </c>
    </row>
    <row r="380" spans="1:10" ht="135" x14ac:dyDescent="0.25">
      <c r="A380" s="1" t="str">
        <f>"377-2020/27"</f>
        <v>377-2020/27</v>
      </c>
      <c r="B380" s="1" t="str">
        <f t="shared" si="60"/>
        <v>21.01.2020</v>
      </c>
      <c r="C380" s="1" t="str">
        <f t="shared" si="56"/>
        <v>Закрито</v>
      </c>
      <c r="D38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80" s="1" t="str">
        <f>"Земельні питання"</f>
        <v>Земельні питання</v>
      </c>
      <c r="F3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0" s="1" t="str">
        <f>"3"</f>
        <v>3</v>
      </c>
      <c r="H380" s="1" t="str">
        <f>"Результат"</f>
        <v>Результат</v>
      </c>
      <c r="I380" s="1" t="str">
        <f t="shared" si="61"/>
        <v>Позитивний</v>
      </c>
      <c r="J380" s="1" t="str">
        <f>"Ні"</f>
        <v>Ні</v>
      </c>
    </row>
    <row r="381" spans="1:10" ht="225" x14ac:dyDescent="0.25">
      <c r="A381" s="1" t="str">
        <f>"365-2020/27"</f>
        <v>365-2020/27</v>
      </c>
      <c r="B381" s="1" t="str">
        <f t="shared" si="60"/>
        <v>21.01.2020</v>
      </c>
      <c r="C381" s="1" t="str">
        <f t="shared" si="56"/>
        <v>Закрито</v>
      </c>
      <c r="D381" s="1" t="str">
        <f>"Видача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ринків"</f>
        <v>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</v>
      </c>
      <c r="E381" s="1" t="str">
        <f>"Дозволи Держпродспоживслужби"</f>
        <v>Дозволи Держпродспоживслужби</v>
      </c>
      <c r="F381" s="1" t="str">
        <f>"Управління Держпродспоживслужби в м. Новій Каховці"</f>
        <v>Управління Держпродспоживслужби в м. Новій Каховці</v>
      </c>
      <c r="G381" s="1" t="str">
        <f>"30"</f>
        <v>30</v>
      </c>
      <c r="H381" s="1" t="str">
        <f>"Результат"</f>
        <v>Результат</v>
      </c>
      <c r="I381" s="1" t="str">
        <f>"Мотивована відмова"</f>
        <v>Мотивована відмова</v>
      </c>
      <c r="J381" s="1" t="str">
        <f>"Ні"</f>
        <v>Ні</v>
      </c>
    </row>
    <row r="382" spans="1:10" ht="135" x14ac:dyDescent="0.25">
      <c r="A382" s="1" t="str">
        <f>"369-2020/27"</f>
        <v>369-2020/27</v>
      </c>
      <c r="B382" s="1" t="str">
        <f t="shared" si="60"/>
        <v>21.01.2020</v>
      </c>
      <c r="C382" s="1" t="str">
        <f t="shared" si="56"/>
        <v>Закрито</v>
      </c>
      <c r="D38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82" s="1" t="str">
        <f>"Земельні питання"</f>
        <v>Земельні питання</v>
      </c>
      <c r="F3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2" s="1" t="str">
        <f>"3"</f>
        <v>3</v>
      </c>
      <c r="H382" s="1" t="str">
        <f>"Результат"</f>
        <v>Результат</v>
      </c>
      <c r="I382" s="1" t="str">
        <f t="shared" ref="I382:I408" si="62">"Позитивний"</f>
        <v>Позитивний</v>
      </c>
      <c r="J382" s="1" t="str">
        <f>"Ні"</f>
        <v>Ні</v>
      </c>
    </row>
    <row r="383" spans="1:10" ht="135" x14ac:dyDescent="0.25">
      <c r="A383" s="1" t="str">
        <f>"372-2020/27"</f>
        <v>372-2020/27</v>
      </c>
      <c r="B383" s="1" t="str">
        <f t="shared" si="60"/>
        <v>21.01.2020</v>
      </c>
      <c r="C383" s="1" t="str">
        <f t="shared" si="56"/>
        <v>Закрито</v>
      </c>
      <c r="D38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83" s="1" t="str">
        <f>"Земельні питання"</f>
        <v>Земельні питання</v>
      </c>
      <c r="F3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3" s="1" t="str">
        <f>"3"</f>
        <v>3</v>
      </c>
      <c r="H383" s="1" t="str">
        <f>"Результат"</f>
        <v>Результат</v>
      </c>
      <c r="I383" s="1" t="str">
        <f t="shared" si="62"/>
        <v>Позитивний</v>
      </c>
      <c r="J383" s="1" t="str">
        <f>"Ні"</f>
        <v>Ні</v>
      </c>
    </row>
    <row r="384" spans="1:10" ht="135" x14ac:dyDescent="0.25">
      <c r="A384" s="1" t="str">
        <f>"374-2020/27"</f>
        <v>374-2020/27</v>
      </c>
      <c r="B384" s="1" t="str">
        <f t="shared" si="60"/>
        <v>21.01.2020</v>
      </c>
      <c r="C384" s="1" t="str">
        <f t="shared" si="56"/>
        <v>Закрито</v>
      </c>
      <c r="D38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84" s="1" t="str">
        <f>"Земельні питання"</f>
        <v>Земельні питання</v>
      </c>
      <c r="F3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4" s="1" t="str">
        <f>"3"</f>
        <v>3</v>
      </c>
      <c r="H384" s="1" t="str">
        <f>"Результат"</f>
        <v>Результат</v>
      </c>
      <c r="I384" s="1" t="str">
        <f t="shared" si="62"/>
        <v>Позитивний</v>
      </c>
      <c r="J384" s="1" t="str">
        <f>"Ні"</f>
        <v>Ні</v>
      </c>
    </row>
    <row r="385" spans="1:10" ht="45" x14ac:dyDescent="0.25">
      <c r="A385" s="1" t="str">
        <f>"367-2020/27"</f>
        <v>367-2020/27</v>
      </c>
      <c r="B385" s="1" t="str">
        <f t="shared" si="60"/>
        <v>21.01.2020</v>
      </c>
      <c r="C385" s="1" t="str">
        <f t="shared" si="56"/>
        <v>Закрито</v>
      </c>
      <c r="D385" s="1" t="str">
        <f>"Реєстрація місця проживання особи"</f>
        <v>Реєстрація місця проживання особи</v>
      </c>
      <c r="E385" s="1" t="str">
        <f>"Реєстрація місця проживання"</f>
        <v>Реєстрація місця проживання</v>
      </c>
      <c r="F385" s="1" t="str">
        <f>"Відділ реєстрації Новокаховської міської ради"</f>
        <v>Відділ реєстрації Новокаховської міської ради</v>
      </c>
      <c r="G385" s="1" t="str">
        <f>"1"</f>
        <v>1</v>
      </c>
      <c r="H385" s="1" t="str">
        <f>"Результат"</f>
        <v>Результат</v>
      </c>
      <c r="I385" s="1" t="str">
        <f t="shared" si="62"/>
        <v>Позитивний</v>
      </c>
      <c r="J385" s="1" t="str">
        <f>"Так"</f>
        <v>Так</v>
      </c>
    </row>
    <row r="386" spans="1:10" ht="135" x14ac:dyDescent="0.25">
      <c r="A386" s="1" t="str">
        <f>"370-2020/27"</f>
        <v>370-2020/27</v>
      </c>
      <c r="B386" s="1" t="str">
        <f t="shared" si="60"/>
        <v>21.01.2020</v>
      </c>
      <c r="C386" s="1" t="str">
        <f t="shared" si="56"/>
        <v>Закрито</v>
      </c>
      <c r="D386" s="1" t="str">
        <f t="shared" ref="D386:D391" si="63"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86" s="1" t="str">
        <f t="shared" ref="E386:E391" si="64">"Земельні питання"</f>
        <v>Земельні питання</v>
      </c>
      <c r="F386" s="1" t="str">
        <f t="shared" ref="F386:F391" si="65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6" s="1" t="str">
        <f t="shared" ref="G386:G391" si="66">"3"</f>
        <v>3</v>
      </c>
      <c r="H386" s="1" t="str">
        <f>"Результат"</f>
        <v>Результат</v>
      </c>
      <c r="I386" s="1" t="str">
        <f t="shared" si="62"/>
        <v>Позитивний</v>
      </c>
      <c r="J386" s="1" t="str">
        <f t="shared" ref="J386:J391" si="67">"Ні"</f>
        <v>Ні</v>
      </c>
    </row>
    <row r="387" spans="1:10" ht="135" x14ac:dyDescent="0.25">
      <c r="A387" s="1" t="str">
        <f>"452-2020/27"</f>
        <v>452-2020/27</v>
      </c>
      <c r="B387" s="1" t="str">
        <f t="shared" ref="B387:B450" si="68">"22.01.2020"</f>
        <v>22.01.2020</v>
      </c>
      <c r="C387" s="1" t="str">
        <f t="shared" si="56"/>
        <v>Закрито</v>
      </c>
      <c r="D387" s="1" t="str">
        <f t="shared" si="63"/>
        <v>Видача витягу з технічної документації про нормативну грошову оцінку земельної ділянки.</v>
      </c>
      <c r="E387" s="1" t="str">
        <f t="shared" si="64"/>
        <v>Земельні питання</v>
      </c>
      <c r="F387" s="1" t="str">
        <f t="shared" si="6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7" s="1" t="str">
        <f t="shared" si="66"/>
        <v>3</v>
      </c>
      <c r="H387" s="1" t="str">
        <f>"Результат"</f>
        <v>Результат</v>
      </c>
      <c r="I387" s="1" t="str">
        <f t="shared" si="62"/>
        <v>Позитивний</v>
      </c>
      <c r="J387" s="1" t="str">
        <f t="shared" si="67"/>
        <v>Ні</v>
      </c>
    </row>
    <row r="388" spans="1:10" ht="135" x14ac:dyDescent="0.25">
      <c r="A388" s="1" t="str">
        <f>"447-2020/27"</f>
        <v>447-2020/27</v>
      </c>
      <c r="B388" s="1" t="str">
        <f t="shared" si="68"/>
        <v>22.01.2020</v>
      </c>
      <c r="C388" s="1" t="str">
        <f t="shared" si="56"/>
        <v>Закрито</v>
      </c>
      <c r="D388" s="1" t="str">
        <f t="shared" si="63"/>
        <v>Видача витягу з технічної документації про нормативну грошову оцінку земельної ділянки.</v>
      </c>
      <c r="E388" s="1" t="str">
        <f t="shared" si="64"/>
        <v>Земельні питання</v>
      </c>
      <c r="F388" s="1" t="str">
        <f t="shared" si="6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8" s="1" t="str">
        <f t="shared" si="66"/>
        <v>3</v>
      </c>
      <c r="H388" s="1" t="str">
        <f>"Результат"</f>
        <v>Результат</v>
      </c>
      <c r="I388" s="1" t="str">
        <f t="shared" si="62"/>
        <v>Позитивний</v>
      </c>
      <c r="J388" s="1" t="str">
        <f t="shared" si="67"/>
        <v>Ні</v>
      </c>
    </row>
    <row r="389" spans="1:10" ht="135" x14ac:dyDescent="0.25">
      <c r="A389" s="1" t="str">
        <f>"402-2020/27"</f>
        <v>402-2020/27</v>
      </c>
      <c r="B389" s="1" t="str">
        <f t="shared" si="68"/>
        <v>22.01.2020</v>
      </c>
      <c r="C389" s="1" t="str">
        <f t="shared" ref="C389:C452" si="69">"Закрито"</f>
        <v>Закрито</v>
      </c>
      <c r="D389" s="1" t="str">
        <f t="shared" si="63"/>
        <v>Видача витягу з технічної документації про нормативну грошову оцінку земельної ділянки.</v>
      </c>
      <c r="E389" s="1" t="str">
        <f t="shared" si="64"/>
        <v>Земельні питання</v>
      </c>
      <c r="F389" s="1" t="str">
        <f t="shared" si="6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89" s="1" t="str">
        <f t="shared" si="66"/>
        <v>3</v>
      </c>
      <c r="H389" s="1" t="str">
        <f>"Результат"</f>
        <v>Результат</v>
      </c>
      <c r="I389" s="1" t="str">
        <f t="shared" si="62"/>
        <v>Позитивний</v>
      </c>
      <c r="J389" s="1" t="str">
        <f t="shared" si="67"/>
        <v>Ні</v>
      </c>
    </row>
    <row r="390" spans="1:10" ht="135" x14ac:dyDescent="0.25">
      <c r="A390" s="1" t="str">
        <f>"453-2020/27"</f>
        <v>453-2020/27</v>
      </c>
      <c r="B390" s="1" t="str">
        <f t="shared" si="68"/>
        <v>22.01.2020</v>
      </c>
      <c r="C390" s="1" t="str">
        <f t="shared" si="69"/>
        <v>Закрито</v>
      </c>
      <c r="D390" s="1" t="str">
        <f t="shared" si="63"/>
        <v>Видача витягу з технічної документації про нормативну грошову оцінку земельної ділянки.</v>
      </c>
      <c r="E390" s="1" t="str">
        <f t="shared" si="64"/>
        <v>Земельні питання</v>
      </c>
      <c r="F390" s="1" t="str">
        <f t="shared" si="6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90" s="1" t="str">
        <f t="shared" si="66"/>
        <v>3</v>
      </c>
      <c r="H390" s="1" t="str">
        <f>"Результат"</f>
        <v>Результат</v>
      </c>
      <c r="I390" s="1" t="str">
        <f t="shared" si="62"/>
        <v>Позитивний</v>
      </c>
      <c r="J390" s="1" t="str">
        <f t="shared" si="67"/>
        <v>Ні</v>
      </c>
    </row>
    <row r="391" spans="1:10" ht="135" x14ac:dyDescent="0.25">
      <c r="A391" s="1" t="str">
        <f>"457-2020/27"</f>
        <v>457-2020/27</v>
      </c>
      <c r="B391" s="1" t="str">
        <f t="shared" si="68"/>
        <v>22.01.2020</v>
      </c>
      <c r="C391" s="1" t="str">
        <f t="shared" si="69"/>
        <v>Закрито</v>
      </c>
      <c r="D391" s="1" t="str">
        <f t="shared" si="63"/>
        <v>Видача витягу з технічної документації про нормативну грошову оцінку земельної ділянки.</v>
      </c>
      <c r="E391" s="1" t="str">
        <f t="shared" si="64"/>
        <v>Земельні питання</v>
      </c>
      <c r="F391" s="1" t="str">
        <f t="shared" si="6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91" s="1" t="str">
        <f t="shared" si="66"/>
        <v>3</v>
      </c>
      <c r="H391" s="1" t="str">
        <f>"Результат"</f>
        <v>Результат</v>
      </c>
      <c r="I391" s="1" t="str">
        <f t="shared" si="62"/>
        <v>Позитивний</v>
      </c>
      <c r="J391" s="1" t="str">
        <f t="shared" si="67"/>
        <v>Ні</v>
      </c>
    </row>
    <row r="392" spans="1:10" ht="45" x14ac:dyDescent="0.25">
      <c r="A392" s="1" t="str">
        <f>"417-2020/27"</f>
        <v>417-2020/27</v>
      </c>
      <c r="B392" s="1" t="str">
        <f t="shared" si="68"/>
        <v>22.01.2020</v>
      </c>
      <c r="C392" s="1" t="str">
        <f t="shared" si="69"/>
        <v>Закрито</v>
      </c>
      <c r="D392" s="1" t="str">
        <f>"Реєстрація місця проживання особи"</f>
        <v>Реєстрація місця проживання особи</v>
      </c>
      <c r="E392" s="1" t="str">
        <f>"Реєстрація місця проживання"</f>
        <v>Реєстрація місця проживання</v>
      </c>
      <c r="F392" s="1" t="str">
        <f>"Відділ реєстрації Новокаховської міської ради"</f>
        <v>Відділ реєстрації Новокаховської міської ради</v>
      </c>
      <c r="G392" s="1" t="str">
        <f>"1"</f>
        <v>1</v>
      </c>
      <c r="H392" s="1" t="str">
        <f>"Результат"</f>
        <v>Результат</v>
      </c>
      <c r="I392" s="1" t="str">
        <f t="shared" si="62"/>
        <v>Позитивний</v>
      </c>
      <c r="J392" s="1" t="str">
        <f>"Так"</f>
        <v>Так</v>
      </c>
    </row>
    <row r="393" spans="1:10" ht="135" x14ac:dyDescent="0.25">
      <c r="A393" s="1" t="str">
        <f>"410-2020/27"</f>
        <v>410-2020/27</v>
      </c>
      <c r="B393" s="1" t="str">
        <f t="shared" si="68"/>
        <v>22.01.2020</v>
      </c>
      <c r="C393" s="1" t="str">
        <f t="shared" si="69"/>
        <v>Закрито</v>
      </c>
      <c r="D3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93" s="1" t="str">
        <f>"Земельні питання"</f>
        <v>Земельні питання</v>
      </c>
      <c r="F3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93" s="1" t="str">
        <f>"3"</f>
        <v>3</v>
      </c>
      <c r="H393" s="1" t="str">
        <f>"Результат"</f>
        <v>Результат</v>
      </c>
      <c r="I393" s="1" t="str">
        <f t="shared" si="62"/>
        <v>Позитивний</v>
      </c>
      <c r="J393" s="1" t="str">
        <f>"Ні"</f>
        <v>Ні</v>
      </c>
    </row>
    <row r="394" spans="1:10" ht="135" x14ac:dyDescent="0.25">
      <c r="A394" s="1" t="str">
        <f>"381-2020/27"</f>
        <v>381-2020/27</v>
      </c>
      <c r="B394" s="1" t="str">
        <f t="shared" si="68"/>
        <v>22.01.2020</v>
      </c>
      <c r="C394" s="1" t="str">
        <f t="shared" si="69"/>
        <v>Закрито</v>
      </c>
      <c r="D3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94" s="1" t="str">
        <f>"Земельні питання"</f>
        <v>Земельні питання</v>
      </c>
      <c r="F3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94" s="1" t="str">
        <f>"3"</f>
        <v>3</v>
      </c>
      <c r="H394" s="1" t="str">
        <f>"Результат"</f>
        <v>Результат</v>
      </c>
      <c r="I394" s="1" t="str">
        <f t="shared" si="62"/>
        <v>Позитивний</v>
      </c>
      <c r="J394" s="1" t="str">
        <f>"Ні"</f>
        <v>Ні</v>
      </c>
    </row>
    <row r="395" spans="1:10" ht="90" x14ac:dyDescent="0.25">
      <c r="A395" s="1" t="str">
        <f>"445-2020/27"</f>
        <v>445-2020/27</v>
      </c>
      <c r="B395" s="1" t="str">
        <f t="shared" si="68"/>
        <v>22.01.2020</v>
      </c>
      <c r="C395" s="1" t="str">
        <f t="shared" si="69"/>
        <v>Закрито</v>
      </c>
      <c r="D39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95" s="1" t="str">
        <f>"Інші послуги"</f>
        <v>Інші послуги</v>
      </c>
      <c r="F39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95" s="1" t="str">
        <f>"5"</f>
        <v>5</v>
      </c>
      <c r="H395" s="1" t="str">
        <f>"Результат"</f>
        <v>Результат</v>
      </c>
      <c r="I395" s="1" t="str">
        <f t="shared" si="62"/>
        <v>Позитивний</v>
      </c>
      <c r="J395" s="1" t="str">
        <f>"Ні"</f>
        <v>Ні</v>
      </c>
    </row>
    <row r="396" spans="1:10" ht="45" x14ac:dyDescent="0.25">
      <c r="A396" s="1" t="str">
        <f>"396-2020/27"</f>
        <v>396-2020/27</v>
      </c>
      <c r="B396" s="1" t="str">
        <f t="shared" si="68"/>
        <v>22.01.2020</v>
      </c>
      <c r="C396" s="1" t="str">
        <f t="shared" si="69"/>
        <v>Закрито</v>
      </c>
      <c r="D396" s="1" t="str">
        <f>"Реєстрація місця проживання особи"</f>
        <v>Реєстрація місця проживання особи</v>
      </c>
      <c r="E396" s="1" t="str">
        <f>"Реєстрація місця проживання"</f>
        <v>Реєстрація місця проживання</v>
      </c>
      <c r="F396" s="1" t="str">
        <f>"Відділ реєстрації Новокаховської міської ради"</f>
        <v>Відділ реєстрації Новокаховської міської ради</v>
      </c>
      <c r="G396" s="1" t="str">
        <f>"1"</f>
        <v>1</v>
      </c>
      <c r="H396" s="1" t="str">
        <f>"Результат"</f>
        <v>Результат</v>
      </c>
      <c r="I396" s="1" t="str">
        <f t="shared" si="62"/>
        <v>Позитивний</v>
      </c>
      <c r="J396" s="1" t="str">
        <f>"Так"</f>
        <v>Так</v>
      </c>
    </row>
    <row r="397" spans="1:10" ht="135" x14ac:dyDescent="0.25">
      <c r="A397" s="1" t="str">
        <f>"400-2020/27"</f>
        <v>400-2020/27</v>
      </c>
      <c r="B397" s="1" t="str">
        <f t="shared" si="68"/>
        <v>22.01.2020</v>
      </c>
      <c r="C397" s="1" t="str">
        <f t="shared" si="69"/>
        <v>Закрито</v>
      </c>
      <c r="D3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97" s="1" t="str">
        <f>"Земельні питання"</f>
        <v>Земельні питання</v>
      </c>
      <c r="F3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97" s="1" t="str">
        <f>"3"</f>
        <v>3</v>
      </c>
      <c r="H397" s="1" t="str">
        <f>"Результат"</f>
        <v>Результат</v>
      </c>
      <c r="I397" s="1" t="str">
        <f t="shared" si="62"/>
        <v>Позитивний</v>
      </c>
      <c r="J397" s="1" t="str">
        <f>"Ні"</f>
        <v>Ні</v>
      </c>
    </row>
    <row r="398" spans="1:10" ht="135" x14ac:dyDescent="0.25">
      <c r="A398" s="1" t="str">
        <f>"443-2020/27"</f>
        <v>443-2020/27</v>
      </c>
      <c r="B398" s="1" t="str">
        <f t="shared" si="68"/>
        <v>22.01.2020</v>
      </c>
      <c r="C398" s="1" t="str">
        <f t="shared" si="69"/>
        <v>Закрито</v>
      </c>
      <c r="D3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98" s="1" t="str">
        <f>"Земельні питання"</f>
        <v>Земельні питання</v>
      </c>
      <c r="F3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98" s="1" t="str">
        <f>"3"</f>
        <v>3</v>
      </c>
      <c r="H398" s="1" t="str">
        <f>"Результат"</f>
        <v>Результат</v>
      </c>
      <c r="I398" s="1" t="str">
        <f t="shared" si="62"/>
        <v>Позитивний</v>
      </c>
      <c r="J398" s="1" t="str">
        <f>"Ні"</f>
        <v>Ні</v>
      </c>
    </row>
    <row r="399" spans="1:10" ht="45" x14ac:dyDescent="0.25">
      <c r="A399" s="1" t="str">
        <f>"426-2020/27"</f>
        <v>426-2020/27</v>
      </c>
      <c r="B399" s="1" t="str">
        <f t="shared" si="68"/>
        <v>22.01.2020</v>
      </c>
      <c r="C399" s="1" t="str">
        <f t="shared" si="69"/>
        <v>Закрито</v>
      </c>
      <c r="D399" s="1" t="str">
        <f>"Зняття з реєстрації місця проживання"</f>
        <v>Зняття з реєстрації місця проживання</v>
      </c>
      <c r="E399" s="1" t="str">
        <f>"Реєстрація місця проживання"</f>
        <v>Реєстрація місця проживання</v>
      </c>
      <c r="F399" s="1" t="str">
        <f>"Відділ реєстрації Новокаховської міської ради"</f>
        <v>Відділ реєстрації Новокаховської міської ради</v>
      </c>
      <c r="G399" s="1" t="str">
        <f>"1"</f>
        <v>1</v>
      </c>
      <c r="H399" s="1" t="str">
        <f>"Результат"</f>
        <v>Результат</v>
      </c>
      <c r="I399" s="1" t="str">
        <f t="shared" si="62"/>
        <v>Позитивний</v>
      </c>
      <c r="J399" s="1" t="str">
        <f>"Так"</f>
        <v>Так</v>
      </c>
    </row>
    <row r="400" spans="1:10" ht="135" x14ac:dyDescent="0.25">
      <c r="A400" s="1" t="str">
        <f>"432-2020/27"</f>
        <v>432-2020/27</v>
      </c>
      <c r="B400" s="1" t="str">
        <f t="shared" si="68"/>
        <v>22.01.2020</v>
      </c>
      <c r="C400" s="1" t="str">
        <f t="shared" si="69"/>
        <v>Закрито</v>
      </c>
      <c r="D4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0" s="1" t="str">
        <f>"Земельні питання"</f>
        <v>Земельні питання</v>
      </c>
      <c r="F4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0" s="1" t="str">
        <f>"3"</f>
        <v>3</v>
      </c>
      <c r="H400" s="1" t="str">
        <f>"Результат"</f>
        <v>Результат</v>
      </c>
      <c r="I400" s="1" t="str">
        <f t="shared" si="62"/>
        <v>Позитивний</v>
      </c>
      <c r="J400" s="1" t="str">
        <f>"Ні"</f>
        <v>Ні</v>
      </c>
    </row>
    <row r="401" spans="1:10" ht="135" x14ac:dyDescent="0.25">
      <c r="A401" s="1" t="str">
        <f>"454-2020/27"</f>
        <v>454-2020/27</v>
      </c>
      <c r="B401" s="1" t="str">
        <f t="shared" si="68"/>
        <v>22.01.2020</v>
      </c>
      <c r="C401" s="1" t="str">
        <f t="shared" si="69"/>
        <v>Закрито</v>
      </c>
      <c r="D40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1" s="1" t="str">
        <f>"Земельні питання"</f>
        <v>Земельні питання</v>
      </c>
      <c r="F4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1" s="1" t="str">
        <f>"3"</f>
        <v>3</v>
      </c>
      <c r="H401" s="1" t="str">
        <f>"Результат"</f>
        <v>Результат</v>
      </c>
      <c r="I401" s="1" t="str">
        <f t="shared" si="62"/>
        <v>Позитивний</v>
      </c>
      <c r="J401" s="1" t="str">
        <f>"Ні"</f>
        <v>Ні</v>
      </c>
    </row>
    <row r="402" spans="1:10" ht="135" x14ac:dyDescent="0.25">
      <c r="A402" s="1" t="str">
        <f>"437-2020/27"</f>
        <v>437-2020/27</v>
      </c>
      <c r="B402" s="1" t="str">
        <f t="shared" si="68"/>
        <v>22.01.2020</v>
      </c>
      <c r="C402" s="1" t="str">
        <f t="shared" si="69"/>
        <v>Закрито</v>
      </c>
      <c r="D4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2" s="1" t="str">
        <f>"Земельні питання"</f>
        <v>Земельні питання</v>
      </c>
      <c r="F4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2" s="1" t="str">
        <f>"3"</f>
        <v>3</v>
      </c>
      <c r="H402" s="1" t="str">
        <f>"Результат"</f>
        <v>Результат</v>
      </c>
      <c r="I402" s="1" t="str">
        <f t="shared" si="62"/>
        <v>Позитивний</v>
      </c>
      <c r="J402" s="1" t="str">
        <f>"Ні"</f>
        <v>Ні</v>
      </c>
    </row>
    <row r="403" spans="1:10" ht="45" x14ac:dyDescent="0.25">
      <c r="A403" s="1" t="str">
        <f>"415-2020/27"</f>
        <v>415-2020/27</v>
      </c>
      <c r="B403" s="1" t="str">
        <f t="shared" si="68"/>
        <v>22.01.2020</v>
      </c>
      <c r="C403" s="1" t="str">
        <f t="shared" si="69"/>
        <v>Закрито</v>
      </c>
      <c r="D403" s="1" t="str">
        <f>"Реєстрація місця проживання особи"</f>
        <v>Реєстрація місця проживання особи</v>
      </c>
      <c r="E403" s="1" t="str">
        <f>"Реєстрація місця проживання"</f>
        <v>Реєстрація місця проживання</v>
      </c>
      <c r="F403" s="1" t="str">
        <f>"Відділ реєстрації Новокаховської міської ради"</f>
        <v>Відділ реєстрації Новокаховської міської ради</v>
      </c>
      <c r="G403" s="1" t="str">
        <f>"1"</f>
        <v>1</v>
      </c>
      <c r="H403" s="1" t="str">
        <f>"Результат"</f>
        <v>Результат</v>
      </c>
      <c r="I403" s="1" t="str">
        <f t="shared" si="62"/>
        <v>Позитивний</v>
      </c>
      <c r="J403" s="1" t="str">
        <f>"Так"</f>
        <v>Так</v>
      </c>
    </row>
    <row r="404" spans="1:10" ht="135" x14ac:dyDescent="0.25">
      <c r="A404" s="1" t="str">
        <f>"403-2020/27"</f>
        <v>403-2020/27</v>
      </c>
      <c r="B404" s="1" t="str">
        <f t="shared" si="68"/>
        <v>22.01.2020</v>
      </c>
      <c r="C404" s="1" t="str">
        <f t="shared" si="69"/>
        <v>Закрито</v>
      </c>
      <c r="D40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4" s="1" t="str">
        <f>"Земельні питання"</f>
        <v>Земельні питання</v>
      </c>
      <c r="F4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4" s="1" t="str">
        <f>"3"</f>
        <v>3</v>
      </c>
      <c r="H404" s="1" t="str">
        <f>"Результат"</f>
        <v>Результат</v>
      </c>
      <c r="I404" s="1" t="str">
        <f t="shared" si="62"/>
        <v>Позитивний</v>
      </c>
      <c r="J404" s="1" t="str">
        <f>"Ні"</f>
        <v>Ні</v>
      </c>
    </row>
    <row r="405" spans="1:10" ht="135" x14ac:dyDescent="0.25">
      <c r="A405" s="1" t="str">
        <f>"406-2020/27"</f>
        <v>406-2020/27</v>
      </c>
      <c r="B405" s="1" t="str">
        <f t="shared" si="68"/>
        <v>22.01.2020</v>
      </c>
      <c r="C405" s="1" t="str">
        <f t="shared" si="69"/>
        <v>Закрито</v>
      </c>
      <c r="D40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5" s="1" t="str">
        <f>"Земельні питання"</f>
        <v>Земельні питання</v>
      </c>
      <c r="F4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5" s="1" t="str">
        <f>"3"</f>
        <v>3</v>
      </c>
      <c r="H405" s="1" t="str">
        <f>"Результат"</f>
        <v>Результат</v>
      </c>
      <c r="I405" s="1" t="str">
        <f t="shared" si="62"/>
        <v>Позитивний</v>
      </c>
      <c r="J405" s="1" t="str">
        <f>"Ні"</f>
        <v>Ні</v>
      </c>
    </row>
    <row r="406" spans="1:10" ht="45" x14ac:dyDescent="0.25">
      <c r="A406" s="1" t="str">
        <f>"385-2020/27"</f>
        <v>385-2020/27</v>
      </c>
      <c r="B406" s="1" t="str">
        <f t="shared" si="68"/>
        <v>22.01.2020</v>
      </c>
      <c r="C406" s="1" t="str">
        <f t="shared" si="69"/>
        <v>Закрито</v>
      </c>
      <c r="D406" s="1" t="str">
        <f>"Реєстрація місця проживання особи"</f>
        <v>Реєстрація місця проживання особи</v>
      </c>
      <c r="E406" s="1" t="str">
        <f>"Реєстрація місця проживання"</f>
        <v>Реєстрація місця проживання</v>
      </c>
      <c r="F406" s="1" t="str">
        <f>"Відділ реєстрації Новокаховської міської ради"</f>
        <v>Відділ реєстрації Новокаховської міської ради</v>
      </c>
      <c r="G406" s="1" t="str">
        <f>"1"</f>
        <v>1</v>
      </c>
      <c r="H406" s="1" t="str">
        <f>"Результат"</f>
        <v>Результат</v>
      </c>
      <c r="I406" s="1" t="str">
        <f t="shared" si="62"/>
        <v>Позитивний</v>
      </c>
      <c r="J406" s="1" t="str">
        <f>"Так"</f>
        <v>Так</v>
      </c>
    </row>
    <row r="407" spans="1:10" ht="135" x14ac:dyDescent="0.25">
      <c r="A407" s="1" t="str">
        <f>"405-2020/27"</f>
        <v>405-2020/27</v>
      </c>
      <c r="B407" s="1" t="str">
        <f t="shared" si="68"/>
        <v>22.01.2020</v>
      </c>
      <c r="C407" s="1" t="str">
        <f t="shared" si="69"/>
        <v>Закрито</v>
      </c>
      <c r="D40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7" s="1" t="str">
        <f>"Земельні питання"</f>
        <v>Земельні питання</v>
      </c>
      <c r="F4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7" s="1" t="str">
        <f>"3"</f>
        <v>3</v>
      </c>
      <c r="H407" s="1" t="str">
        <f>"Результат"</f>
        <v>Результат</v>
      </c>
      <c r="I407" s="1" t="str">
        <f t="shared" si="62"/>
        <v>Позитивний</v>
      </c>
      <c r="J407" s="1" t="str">
        <f t="shared" ref="J407:J413" si="70">"Ні"</f>
        <v>Ні</v>
      </c>
    </row>
    <row r="408" spans="1:10" ht="135" x14ac:dyDescent="0.25">
      <c r="A408" s="1" t="str">
        <f>"436-2020/27"</f>
        <v>436-2020/27</v>
      </c>
      <c r="B408" s="1" t="str">
        <f t="shared" si="68"/>
        <v>22.01.2020</v>
      </c>
      <c r="C408" s="1" t="str">
        <f t="shared" si="69"/>
        <v>Закрито</v>
      </c>
      <c r="D40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8" s="1" t="str">
        <f>"Земельні питання"</f>
        <v>Земельні питання</v>
      </c>
      <c r="F4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8" s="1" t="str">
        <f>"3"</f>
        <v>3</v>
      </c>
      <c r="H408" s="1" t="str">
        <f>"Результат"</f>
        <v>Результат</v>
      </c>
      <c r="I408" s="1" t="str">
        <f t="shared" si="62"/>
        <v>Позитивний</v>
      </c>
      <c r="J408" s="1" t="str">
        <f t="shared" si="70"/>
        <v>Ні</v>
      </c>
    </row>
    <row r="409" spans="1:10" ht="135" x14ac:dyDescent="0.25">
      <c r="A409" s="1" t="str">
        <f>"434-2020/27"</f>
        <v>434-2020/27</v>
      </c>
      <c r="B409" s="1" t="str">
        <f t="shared" si="68"/>
        <v>22.01.2020</v>
      </c>
      <c r="C409" s="1" t="str">
        <f t="shared" si="69"/>
        <v>Закрито</v>
      </c>
      <c r="D40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09" s="1" t="str">
        <f>"Земельні питання"</f>
        <v>Земельні питання</v>
      </c>
      <c r="F4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09" s="1" t="str">
        <f>"3"</f>
        <v>3</v>
      </c>
      <c r="H409" s="1" t="str">
        <f>"РезультатРезультат"</f>
        <v>РезультатРезультат</v>
      </c>
      <c r="I409" s="1" t="str">
        <f>"ПозитивнийПозитивний"</f>
        <v>ПозитивнийПозитивний</v>
      </c>
      <c r="J409" s="1" t="str">
        <f t="shared" si="70"/>
        <v>Ні</v>
      </c>
    </row>
    <row r="410" spans="1:10" ht="135" x14ac:dyDescent="0.25">
      <c r="A410" s="1" t="str">
        <f>"435-2020/27"</f>
        <v>435-2020/27</v>
      </c>
      <c r="B410" s="1" t="str">
        <f t="shared" si="68"/>
        <v>22.01.2020</v>
      </c>
      <c r="C410" s="1" t="str">
        <f t="shared" si="69"/>
        <v>Закрито</v>
      </c>
      <c r="D41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10" s="1" t="str">
        <f>"Земельні питання"</f>
        <v>Земельні питання</v>
      </c>
      <c r="F4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10" s="1" t="str">
        <f>"3"</f>
        <v>3</v>
      </c>
      <c r="H410" s="1" t="str">
        <f>"Результат"</f>
        <v>Результат</v>
      </c>
      <c r="I410" s="1" t="str">
        <f t="shared" ref="I410:I428" si="71">"Позитивний"</f>
        <v>Позитивний</v>
      </c>
      <c r="J410" s="1" t="str">
        <f t="shared" si="70"/>
        <v>Ні</v>
      </c>
    </row>
    <row r="411" spans="1:10" ht="90" x14ac:dyDescent="0.25">
      <c r="A411" s="1" t="str">
        <f>"395-2020/27"</f>
        <v>395-2020/27</v>
      </c>
      <c r="B411" s="1" t="str">
        <f t="shared" si="68"/>
        <v>22.01.2020</v>
      </c>
      <c r="C411" s="1" t="str">
        <f t="shared" si="69"/>
        <v>Закрито</v>
      </c>
      <c r="D41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11" s="1" t="str">
        <f>"Інші послуги"</f>
        <v>Інші послуги</v>
      </c>
      <c r="F41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11" s="1" t="str">
        <f>"5"</f>
        <v>5</v>
      </c>
      <c r="H411" s="1" t="str">
        <f>"Результат"</f>
        <v>Результат</v>
      </c>
      <c r="I411" s="1" t="str">
        <f t="shared" si="71"/>
        <v>Позитивний</v>
      </c>
      <c r="J411" s="1" t="str">
        <f t="shared" si="70"/>
        <v>Ні</v>
      </c>
    </row>
    <row r="412" spans="1:10" ht="135" x14ac:dyDescent="0.25">
      <c r="A412" s="1" t="str">
        <f>"401-2020/27"</f>
        <v>401-2020/27</v>
      </c>
      <c r="B412" s="1" t="str">
        <f t="shared" si="68"/>
        <v>22.01.2020</v>
      </c>
      <c r="C412" s="1" t="str">
        <f t="shared" si="69"/>
        <v>Закрито</v>
      </c>
      <c r="D4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12" s="1" t="str">
        <f>"Земельні питання"</f>
        <v>Земельні питання</v>
      </c>
      <c r="F4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12" s="1" t="str">
        <f>"3"</f>
        <v>3</v>
      </c>
      <c r="H412" s="1" t="str">
        <f>"Результат"</f>
        <v>Результат</v>
      </c>
      <c r="I412" s="1" t="str">
        <f t="shared" si="71"/>
        <v>Позитивний</v>
      </c>
      <c r="J412" s="1" t="str">
        <f t="shared" si="70"/>
        <v>Ні</v>
      </c>
    </row>
    <row r="413" spans="1:10" ht="135" x14ac:dyDescent="0.25">
      <c r="A413" s="1" t="str">
        <f>"419-2020/27"</f>
        <v>419-2020/27</v>
      </c>
      <c r="B413" s="1" t="str">
        <f t="shared" si="68"/>
        <v>22.01.2020</v>
      </c>
      <c r="C413" s="1" t="str">
        <f t="shared" si="69"/>
        <v>Закрито</v>
      </c>
      <c r="D41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413" s="1" t="str">
        <f>"Земельні питання"</f>
        <v>Земельні питання</v>
      </c>
      <c r="F4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13" s="1" t="str">
        <f>"14"</f>
        <v>14</v>
      </c>
      <c r="H413" s="1" t="str">
        <f>"Результат"</f>
        <v>Результат</v>
      </c>
      <c r="I413" s="1" t="str">
        <f t="shared" si="71"/>
        <v>Позитивний</v>
      </c>
      <c r="J413" s="1" t="str">
        <f t="shared" si="70"/>
        <v>Ні</v>
      </c>
    </row>
    <row r="414" spans="1:10" ht="45" x14ac:dyDescent="0.25">
      <c r="A414" s="1" t="str">
        <f>"387-2020/27"</f>
        <v>387-2020/27</v>
      </c>
      <c r="B414" s="1" t="str">
        <f t="shared" si="68"/>
        <v>22.01.2020</v>
      </c>
      <c r="C414" s="1" t="str">
        <f t="shared" si="69"/>
        <v>Закрито</v>
      </c>
      <c r="D414" s="1" t="str">
        <f>"Реєстрація місця проживання особи"</f>
        <v>Реєстрація місця проживання особи</v>
      </c>
      <c r="E414" s="1" t="str">
        <f>"Реєстрація місця проживання"</f>
        <v>Реєстрація місця проживання</v>
      </c>
      <c r="F414" s="1" t="str">
        <f>"Відділ реєстрації Новокаховської міської ради"</f>
        <v>Відділ реєстрації Новокаховської міської ради</v>
      </c>
      <c r="G414" s="1" t="str">
        <f>"1"</f>
        <v>1</v>
      </c>
      <c r="H414" s="1" t="str">
        <f>"Результат"</f>
        <v>Результат</v>
      </c>
      <c r="I414" s="1" t="str">
        <f t="shared" si="71"/>
        <v>Позитивний</v>
      </c>
      <c r="J414" s="1" t="str">
        <f>"Так"</f>
        <v>Так</v>
      </c>
    </row>
    <row r="415" spans="1:10" ht="135" x14ac:dyDescent="0.25">
      <c r="A415" s="1" t="str">
        <f>"450-2020/27"</f>
        <v>450-2020/27</v>
      </c>
      <c r="B415" s="1" t="str">
        <f t="shared" si="68"/>
        <v>22.01.2020</v>
      </c>
      <c r="C415" s="1" t="str">
        <f t="shared" si="69"/>
        <v>Закрито</v>
      </c>
      <c r="D41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15" s="1" t="str">
        <f>"Земельні питання"</f>
        <v>Земельні питання</v>
      </c>
      <c r="F4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15" s="1" t="str">
        <f>"3"</f>
        <v>3</v>
      </c>
      <c r="H415" s="1" t="str">
        <f>"Результат"</f>
        <v>Результат</v>
      </c>
      <c r="I415" s="1" t="str">
        <f t="shared" si="71"/>
        <v>Позитивний</v>
      </c>
      <c r="J415" s="1" t="str">
        <f>"Ні"</f>
        <v>Ні</v>
      </c>
    </row>
    <row r="416" spans="1:10" ht="135" x14ac:dyDescent="0.25">
      <c r="A416" s="1" t="str">
        <f>"399-2020/27"</f>
        <v>399-2020/27</v>
      </c>
      <c r="B416" s="1" t="str">
        <f t="shared" si="68"/>
        <v>22.01.2020</v>
      </c>
      <c r="C416" s="1" t="str">
        <f t="shared" si="69"/>
        <v>Закрито</v>
      </c>
      <c r="D4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16" s="1" t="str">
        <f>"Земельні питання"</f>
        <v>Земельні питання</v>
      </c>
      <c r="F4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16" s="1" t="str">
        <f>"3"</f>
        <v>3</v>
      </c>
      <c r="H416" s="1" t="str">
        <f>"Результат"</f>
        <v>Результат</v>
      </c>
      <c r="I416" s="1" t="str">
        <f t="shared" si="71"/>
        <v>Позитивний</v>
      </c>
      <c r="J416" s="1" t="str">
        <f>"Ні"</f>
        <v>Ні</v>
      </c>
    </row>
    <row r="417" spans="1:10" ht="45" x14ac:dyDescent="0.25">
      <c r="A417" s="1" t="str">
        <f>"420-2020/27"</f>
        <v>420-2020/27</v>
      </c>
      <c r="B417" s="1" t="str">
        <f t="shared" si="68"/>
        <v>22.01.2020</v>
      </c>
      <c r="C417" s="1" t="str">
        <f t="shared" si="69"/>
        <v>Закрито</v>
      </c>
      <c r="D417" s="1" t="str">
        <f>"Зняття з реєстрації місця проживання"</f>
        <v>Зняття з реєстрації місця проживання</v>
      </c>
      <c r="E417" s="1" t="str">
        <f>"Реєстрація місця проживання"</f>
        <v>Реєстрація місця проживання</v>
      </c>
      <c r="F417" s="1" t="str">
        <f>"Відділ реєстрації Новокаховської міської ради"</f>
        <v>Відділ реєстрації Новокаховської міської ради</v>
      </c>
      <c r="G417" s="1" t="str">
        <f>"1"</f>
        <v>1</v>
      </c>
      <c r="H417" s="1" t="str">
        <f>"Результат"</f>
        <v>Результат</v>
      </c>
      <c r="I417" s="1" t="str">
        <f t="shared" si="71"/>
        <v>Позитивний</v>
      </c>
      <c r="J417" s="1" t="str">
        <f>"Так"</f>
        <v>Так</v>
      </c>
    </row>
    <row r="418" spans="1:10" ht="45" x14ac:dyDescent="0.25">
      <c r="A418" s="1" t="str">
        <f>"418-2020/27"</f>
        <v>418-2020/27</v>
      </c>
      <c r="B418" s="1" t="str">
        <f t="shared" si="68"/>
        <v>22.01.2020</v>
      </c>
      <c r="C418" s="1" t="str">
        <f t="shared" si="69"/>
        <v>Закрито</v>
      </c>
      <c r="D418" s="1" t="str">
        <f>"Реєстрація місця проживання особи"</f>
        <v>Реєстрація місця проживання особи</v>
      </c>
      <c r="E418" s="1" t="str">
        <f>"Реєстрація місця проживання"</f>
        <v>Реєстрація місця проживання</v>
      </c>
      <c r="F418" s="1" t="str">
        <f>"Відділ реєстрації Новокаховської міської ради"</f>
        <v>Відділ реєстрації Новокаховської міської ради</v>
      </c>
      <c r="G418" s="1" t="str">
        <f>"1"</f>
        <v>1</v>
      </c>
      <c r="H418" s="1" t="str">
        <f>"Результат"</f>
        <v>Результат</v>
      </c>
      <c r="I418" s="1" t="str">
        <f t="shared" si="71"/>
        <v>Позитивний</v>
      </c>
      <c r="J418" s="1" t="str">
        <f>"Так"</f>
        <v>Так</v>
      </c>
    </row>
    <row r="419" spans="1:10" ht="135" x14ac:dyDescent="0.25">
      <c r="A419" s="1" t="str">
        <f>"408-2020/27"</f>
        <v>408-2020/27</v>
      </c>
      <c r="B419" s="1" t="str">
        <f t="shared" si="68"/>
        <v>22.01.2020</v>
      </c>
      <c r="C419" s="1" t="str">
        <f t="shared" si="69"/>
        <v>Закрито</v>
      </c>
      <c r="D41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19" s="1" t="str">
        <f>"Земельні питання"</f>
        <v>Земельні питання</v>
      </c>
      <c r="F4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19" s="1" t="str">
        <f>"3"</f>
        <v>3</v>
      </c>
      <c r="H419" s="1" t="str">
        <f>"Результат"</f>
        <v>Результат</v>
      </c>
      <c r="I419" s="1" t="str">
        <f t="shared" si="71"/>
        <v>Позитивний</v>
      </c>
      <c r="J419" s="1" t="str">
        <f>"Ні"</f>
        <v>Ні</v>
      </c>
    </row>
    <row r="420" spans="1:10" ht="45" x14ac:dyDescent="0.25">
      <c r="A420" s="1" t="str">
        <f>"397-2020/27"</f>
        <v>397-2020/27</v>
      </c>
      <c r="B420" s="1" t="str">
        <f t="shared" si="68"/>
        <v>22.01.2020</v>
      </c>
      <c r="C420" s="1" t="str">
        <f t="shared" si="69"/>
        <v>Закрито</v>
      </c>
      <c r="D420" s="1" t="str">
        <f>"Реєстрація місця проживання особи"</f>
        <v>Реєстрація місця проживання особи</v>
      </c>
      <c r="E420" s="1" t="str">
        <f>"Реєстрація місця проживання"</f>
        <v>Реєстрація місця проживання</v>
      </c>
      <c r="F420" s="1" t="str">
        <f>"Відділ реєстрації Новокаховської міської ради"</f>
        <v>Відділ реєстрації Новокаховської міської ради</v>
      </c>
      <c r="G420" s="1" t="str">
        <f>"1"</f>
        <v>1</v>
      </c>
      <c r="H420" s="1" t="str">
        <f>"Результат"</f>
        <v>Результат</v>
      </c>
      <c r="I420" s="1" t="str">
        <f t="shared" si="71"/>
        <v>Позитивний</v>
      </c>
      <c r="J420" s="1" t="str">
        <f>"Так"</f>
        <v>Так</v>
      </c>
    </row>
    <row r="421" spans="1:10" ht="225" x14ac:dyDescent="0.25">
      <c r="A421" s="1" t="str">
        <f>"392-2020/27"</f>
        <v>392-2020/27</v>
      </c>
      <c r="B421" s="1" t="str">
        <f t="shared" si="68"/>
        <v>22.01.2020</v>
      </c>
      <c r="C421" s="1" t="str">
        <f t="shared" si="69"/>
        <v>Закрито</v>
      </c>
      <c r="D421" s="1" t="s">
        <v>1</v>
      </c>
      <c r="E421" s="1" t="str">
        <f>"Будівництво"</f>
        <v>Будівництво</v>
      </c>
      <c r="F42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421" s="1" t="str">
        <f>"30"</f>
        <v>30</v>
      </c>
      <c r="H421" s="1" t="str">
        <f>"Результат"</f>
        <v>Результат</v>
      </c>
      <c r="I421" s="1" t="str">
        <f t="shared" si="71"/>
        <v>Позитивний</v>
      </c>
      <c r="J421" s="1" t="str">
        <f>"Ні"</f>
        <v>Ні</v>
      </c>
    </row>
    <row r="422" spans="1:10" ht="225" x14ac:dyDescent="0.25">
      <c r="A422" s="1" t="str">
        <f>"394-2020/27"</f>
        <v>394-2020/27</v>
      </c>
      <c r="B422" s="1" t="str">
        <f t="shared" si="68"/>
        <v>22.01.2020</v>
      </c>
      <c r="C422" s="1" t="str">
        <f t="shared" si="69"/>
        <v>Закрито</v>
      </c>
      <c r="D422" s="1" t="s">
        <v>1</v>
      </c>
      <c r="E422" s="1" t="str">
        <f>"Будівництво"</f>
        <v>Будівництво</v>
      </c>
      <c r="F42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422" s="1" t="str">
        <f>"30"</f>
        <v>30</v>
      </c>
      <c r="H422" s="1" t="str">
        <f>"Результат"</f>
        <v>Результат</v>
      </c>
      <c r="I422" s="1" t="str">
        <f t="shared" si="71"/>
        <v>Позитивний</v>
      </c>
      <c r="J422" s="1" t="str">
        <f>"Ні"</f>
        <v>Ні</v>
      </c>
    </row>
    <row r="423" spans="1:10" ht="135" x14ac:dyDescent="0.25">
      <c r="A423" s="1" t="str">
        <f>"446-2020/27"</f>
        <v>446-2020/27</v>
      </c>
      <c r="B423" s="1" t="str">
        <f t="shared" si="68"/>
        <v>22.01.2020</v>
      </c>
      <c r="C423" s="1" t="str">
        <f t="shared" si="69"/>
        <v>Закрито</v>
      </c>
      <c r="D42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23" s="1" t="str">
        <f>"Земельні питання"</f>
        <v>Земельні питання</v>
      </c>
      <c r="F4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23" s="1" t="str">
        <f>"3"</f>
        <v>3</v>
      </c>
      <c r="H423" s="1" t="str">
        <f>"Результат"</f>
        <v>Результат</v>
      </c>
      <c r="I423" s="1" t="str">
        <f t="shared" si="71"/>
        <v>Позитивний</v>
      </c>
      <c r="J423" s="1" t="str">
        <f>"Ні"</f>
        <v>Ні</v>
      </c>
    </row>
    <row r="424" spans="1:10" ht="45" x14ac:dyDescent="0.25">
      <c r="A424" s="1" t="str">
        <f>"421-2020/27"</f>
        <v>421-2020/27</v>
      </c>
      <c r="B424" s="1" t="str">
        <f t="shared" si="68"/>
        <v>22.01.2020</v>
      </c>
      <c r="C424" s="1" t="str">
        <f t="shared" si="69"/>
        <v>Закрито</v>
      </c>
      <c r="D424" s="1" t="str">
        <f>"Зняття з реєстрації місця проживання"</f>
        <v>Зняття з реєстрації місця проживання</v>
      </c>
      <c r="E424" s="1" t="str">
        <f>"Реєстрація місця проживання"</f>
        <v>Реєстрація місця проживання</v>
      </c>
      <c r="F424" s="1" t="str">
        <f>"Відділ реєстрації Новокаховської міської ради"</f>
        <v>Відділ реєстрації Новокаховської міської ради</v>
      </c>
      <c r="G424" s="1" t="str">
        <f>"1"</f>
        <v>1</v>
      </c>
      <c r="H424" s="1" t="str">
        <f>"Результат"</f>
        <v>Результат</v>
      </c>
      <c r="I424" s="1" t="str">
        <f t="shared" si="71"/>
        <v>Позитивний</v>
      </c>
      <c r="J424" s="1" t="str">
        <f>"Так"</f>
        <v>Так</v>
      </c>
    </row>
    <row r="425" spans="1:10" ht="135" x14ac:dyDescent="0.25">
      <c r="A425" s="1" t="str">
        <f>"382-2020/27"</f>
        <v>382-2020/27</v>
      </c>
      <c r="B425" s="1" t="str">
        <f t="shared" si="68"/>
        <v>22.01.2020</v>
      </c>
      <c r="C425" s="1" t="str">
        <f t="shared" si="69"/>
        <v>Закрито</v>
      </c>
      <c r="D4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25" s="1" t="str">
        <f>"Земельні питання"</f>
        <v>Земельні питання</v>
      </c>
      <c r="F4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25" s="1" t="str">
        <f>"3"</f>
        <v>3</v>
      </c>
      <c r="H425" s="1" t="str">
        <f>"Результат"</f>
        <v>Результат</v>
      </c>
      <c r="I425" s="1" t="str">
        <f t="shared" si="71"/>
        <v>Позитивний</v>
      </c>
      <c r="J425" s="1" t="str">
        <f>"Ні"</f>
        <v>Ні</v>
      </c>
    </row>
    <row r="426" spans="1:10" ht="135" x14ac:dyDescent="0.25">
      <c r="A426" s="1" t="str">
        <f>"404-2020/27"</f>
        <v>404-2020/27</v>
      </c>
      <c r="B426" s="1" t="str">
        <f t="shared" si="68"/>
        <v>22.01.2020</v>
      </c>
      <c r="C426" s="1" t="str">
        <f t="shared" si="69"/>
        <v>Закрито</v>
      </c>
      <c r="D42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26" s="1" t="str">
        <f>"Земельні питання"</f>
        <v>Земельні питання</v>
      </c>
      <c r="F4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26" s="1" t="str">
        <f>"3"</f>
        <v>3</v>
      </c>
      <c r="H426" s="1" t="str">
        <f>"Результат"</f>
        <v>Результат</v>
      </c>
      <c r="I426" s="1" t="str">
        <f t="shared" si="71"/>
        <v>Позитивний</v>
      </c>
      <c r="J426" s="1" t="str">
        <f>"Ні"</f>
        <v>Ні</v>
      </c>
    </row>
    <row r="427" spans="1:10" ht="45" x14ac:dyDescent="0.25">
      <c r="A427" s="1" t="str">
        <f>"389-2020/27"</f>
        <v>389-2020/27</v>
      </c>
      <c r="B427" s="1" t="str">
        <f t="shared" si="68"/>
        <v>22.01.2020</v>
      </c>
      <c r="C427" s="1" t="str">
        <f t="shared" si="69"/>
        <v>Закрито</v>
      </c>
      <c r="D427" s="1" t="str">
        <f>"Реєстрація місця проживання особи"</f>
        <v>Реєстрація місця проживання особи</v>
      </c>
      <c r="E427" s="1" t="str">
        <f>"Реєстрація місця проживання"</f>
        <v>Реєстрація місця проживання</v>
      </c>
      <c r="F427" s="1" t="str">
        <f>"Відділ реєстрації Новокаховської міської ради"</f>
        <v>Відділ реєстрації Новокаховської міської ради</v>
      </c>
      <c r="G427" s="1" t="str">
        <f>"1"</f>
        <v>1</v>
      </c>
      <c r="H427" s="1" t="str">
        <f>"Результат"</f>
        <v>Результат</v>
      </c>
      <c r="I427" s="1" t="str">
        <f t="shared" si="71"/>
        <v>Позитивний</v>
      </c>
      <c r="J427" s="1" t="str">
        <f>"Так"</f>
        <v>Так</v>
      </c>
    </row>
    <row r="428" spans="1:10" ht="45" x14ac:dyDescent="0.25">
      <c r="A428" s="1" t="str">
        <f>"422-2020/27"</f>
        <v>422-2020/27</v>
      </c>
      <c r="B428" s="1" t="str">
        <f t="shared" si="68"/>
        <v>22.01.2020</v>
      </c>
      <c r="C428" s="1" t="str">
        <f t="shared" si="69"/>
        <v>Закрито</v>
      </c>
      <c r="D428" s="1" t="str">
        <f>"Реєстрація місця проживання особи"</f>
        <v>Реєстрація місця проживання особи</v>
      </c>
      <c r="E428" s="1" t="str">
        <f>"Реєстрація місця проживання"</f>
        <v>Реєстрація місця проживання</v>
      </c>
      <c r="F428" s="1" t="str">
        <f>"Відділ реєстрації Новокаховської міської ради"</f>
        <v>Відділ реєстрації Новокаховської міської ради</v>
      </c>
      <c r="G428" s="1" t="str">
        <f>"1"</f>
        <v>1</v>
      </c>
      <c r="H428" s="1" t="str">
        <f>"Результат"</f>
        <v>Результат</v>
      </c>
      <c r="I428" s="1" t="str">
        <f t="shared" si="71"/>
        <v>Позитивний</v>
      </c>
      <c r="J428" s="1" t="str">
        <f>"Так"</f>
        <v>Так</v>
      </c>
    </row>
    <row r="429" spans="1:10" ht="135" x14ac:dyDescent="0.25">
      <c r="A429" s="1" t="str">
        <f>"428-2020/27"</f>
        <v>428-2020/27</v>
      </c>
      <c r="B429" s="1" t="str">
        <f t="shared" si="68"/>
        <v>22.01.2020</v>
      </c>
      <c r="C429" s="1" t="str">
        <f t="shared" si="69"/>
        <v>Закрито</v>
      </c>
      <c r="D42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29" s="1" t="str">
        <f>"Земельні питання"</f>
        <v>Земельні питання</v>
      </c>
      <c r="F4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29" s="1" t="str">
        <f>"3"</f>
        <v>3</v>
      </c>
      <c r="H429" s="1" t="str">
        <f>"Результат"</f>
        <v>Результат</v>
      </c>
      <c r="I429" s="1" t="str">
        <f>"Мотивована відмова"</f>
        <v>Мотивована відмова</v>
      </c>
      <c r="J429" s="1" t="str">
        <f>"Ні"</f>
        <v>Ні</v>
      </c>
    </row>
    <row r="430" spans="1:10" ht="45" x14ac:dyDescent="0.25">
      <c r="A430" s="1" t="str">
        <f>"427-2020/27"</f>
        <v>427-2020/27</v>
      </c>
      <c r="B430" s="1" t="str">
        <f t="shared" si="68"/>
        <v>22.01.2020</v>
      </c>
      <c r="C430" s="1" t="str">
        <f t="shared" si="69"/>
        <v>Закрито</v>
      </c>
      <c r="D430" s="1" t="str">
        <f>"Зняття з реєстрації місця проживання"</f>
        <v>Зняття з реєстрації місця проживання</v>
      </c>
      <c r="E430" s="1" t="str">
        <f>"Реєстрація місця проживання"</f>
        <v>Реєстрація місця проживання</v>
      </c>
      <c r="F430" s="1" t="str">
        <f>"Відділ реєстрації Новокаховської міської ради"</f>
        <v>Відділ реєстрації Новокаховської міської ради</v>
      </c>
      <c r="G430" s="1" t="str">
        <f>"1"</f>
        <v>1</v>
      </c>
      <c r="H430" s="1" t="str">
        <f>"Результат"</f>
        <v>Результат</v>
      </c>
      <c r="I430" s="1" t="str">
        <f t="shared" ref="I430:I437" si="72">"Позитивний"</f>
        <v>Позитивний</v>
      </c>
      <c r="J430" s="1" t="str">
        <f>"Так"</f>
        <v>Так</v>
      </c>
    </row>
    <row r="431" spans="1:10" ht="45" x14ac:dyDescent="0.25">
      <c r="A431" s="1" t="str">
        <f>"384-2020/27"</f>
        <v>384-2020/27</v>
      </c>
      <c r="B431" s="1" t="str">
        <f t="shared" si="68"/>
        <v>22.01.2020</v>
      </c>
      <c r="C431" s="1" t="str">
        <f t="shared" si="69"/>
        <v>Закрито</v>
      </c>
      <c r="D431" s="1" t="str">
        <f>"Реєстрація місця проживання особи"</f>
        <v>Реєстрація місця проживання особи</v>
      </c>
      <c r="E431" s="1" t="str">
        <f>"Реєстрація місця проживання"</f>
        <v>Реєстрація місця проживання</v>
      </c>
      <c r="F431" s="1" t="str">
        <f>"Відділ реєстрації Новокаховської міської ради"</f>
        <v>Відділ реєстрації Новокаховської міської ради</v>
      </c>
      <c r="G431" s="1" t="str">
        <f>"1"</f>
        <v>1</v>
      </c>
      <c r="H431" s="1" t="str">
        <f>"Результат"</f>
        <v>Результат</v>
      </c>
      <c r="I431" s="1" t="str">
        <f t="shared" si="72"/>
        <v>Позитивний</v>
      </c>
      <c r="J431" s="1" t="str">
        <f>"Так"</f>
        <v>Так</v>
      </c>
    </row>
    <row r="432" spans="1:10" ht="45" x14ac:dyDescent="0.25">
      <c r="A432" s="1" t="str">
        <f>"383-2020/27"</f>
        <v>383-2020/27</v>
      </c>
      <c r="B432" s="1" t="str">
        <f t="shared" si="68"/>
        <v>22.01.2020</v>
      </c>
      <c r="C432" s="1" t="str">
        <f t="shared" si="69"/>
        <v>Закрито</v>
      </c>
      <c r="D432" s="1" t="str">
        <f>"Реєстрація місця проживання особи"</f>
        <v>Реєстрація місця проживання особи</v>
      </c>
      <c r="E432" s="1" t="str">
        <f>"Реєстрація місця проживання"</f>
        <v>Реєстрація місця проживання</v>
      </c>
      <c r="F432" s="1" t="str">
        <f>"Відділ реєстрації Новокаховської міської ради"</f>
        <v>Відділ реєстрації Новокаховської міської ради</v>
      </c>
      <c r="G432" s="1" t="str">
        <f>"1"</f>
        <v>1</v>
      </c>
      <c r="H432" s="1" t="str">
        <f>"Результат"</f>
        <v>Результат</v>
      </c>
      <c r="I432" s="1" t="str">
        <f t="shared" si="72"/>
        <v>Позитивний</v>
      </c>
      <c r="J432" s="1" t="str">
        <f>"Так"</f>
        <v>Так</v>
      </c>
    </row>
    <row r="433" spans="1:10" ht="45" x14ac:dyDescent="0.25">
      <c r="A433" s="1" t="str">
        <f>"423-2020/27"</f>
        <v>423-2020/27</v>
      </c>
      <c r="B433" s="1" t="str">
        <f t="shared" si="68"/>
        <v>22.01.2020</v>
      </c>
      <c r="C433" s="1" t="str">
        <f t="shared" si="69"/>
        <v>Закрито</v>
      </c>
      <c r="D433" s="1" t="str">
        <f>"Реєстрація місця проживання особи"</f>
        <v>Реєстрація місця проживання особи</v>
      </c>
      <c r="E433" s="1" t="str">
        <f>"Реєстрація місця проживання"</f>
        <v>Реєстрація місця проживання</v>
      </c>
      <c r="F433" s="1" t="str">
        <f>"Відділ реєстрації Новокаховської міської ради"</f>
        <v>Відділ реєстрації Новокаховської міської ради</v>
      </c>
      <c r="G433" s="1" t="str">
        <f>"1"</f>
        <v>1</v>
      </c>
      <c r="H433" s="1" t="str">
        <f>"Результат"</f>
        <v>Результат</v>
      </c>
      <c r="I433" s="1" t="str">
        <f t="shared" si="72"/>
        <v>Позитивний</v>
      </c>
      <c r="J433" s="1" t="str">
        <f>"Так"</f>
        <v>Так</v>
      </c>
    </row>
    <row r="434" spans="1:10" ht="135" x14ac:dyDescent="0.25">
      <c r="A434" s="1" t="str">
        <f>"430-2020/27"</f>
        <v>430-2020/27</v>
      </c>
      <c r="B434" s="1" t="str">
        <f t="shared" si="68"/>
        <v>22.01.2020</v>
      </c>
      <c r="C434" s="1" t="str">
        <f t="shared" si="69"/>
        <v>Закрито</v>
      </c>
      <c r="D43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34" s="1" t="str">
        <f>"Земельні питання"</f>
        <v>Земельні питання</v>
      </c>
      <c r="F4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34" s="1" t="str">
        <f>"3"</f>
        <v>3</v>
      </c>
      <c r="H434" s="1" t="str">
        <f>"Результат"</f>
        <v>Результат</v>
      </c>
      <c r="I434" s="1" t="str">
        <f t="shared" si="72"/>
        <v>Позитивний</v>
      </c>
      <c r="J434" s="1" t="str">
        <f>"Ні"</f>
        <v>Ні</v>
      </c>
    </row>
    <row r="435" spans="1:10" ht="90" x14ac:dyDescent="0.25">
      <c r="A435" s="1" t="str">
        <f>"386-2020/27"</f>
        <v>386-2020/27</v>
      </c>
      <c r="B435" s="1" t="str">
        <f t="shared" si="68"/>
        <v>22.01.2020</v>
      </c>
      <c r="C435" s="1" t="str">
        <f t="shared" si="69"/>
        <v>Закрито</v>
      </c>
      <c r="D43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35" s="1" t="str">
        <f>"Інші послуги"</f>
        <v>Інші послуги</v>
      </c>
      <c r="F43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35" s="1" t="str">
        <f>"5"</f>
        <v>5</v>
      </c>
      <c r="H435" s="1" t="str">
        <f>"Результат"</f>
        <v>Результат</v>
      </c>
      <c r="I435" s="1" t="str">
        <f t="shared" si="72"/>
        <v>Позитивний</v>
      </c>
      <c r="J435" s="1" t="str">
        <f>"Ні"</f>
        <v>Ні</v>
      </c>
    </row>
    <row r="436" spans="1:10" ht="135" x14ac:dyDescent="0.25">
      <c r="A436" s="1" t="str">
        <f>"456-2020/27"</f>
        <v>456-2020/27</v>
      </c>
      <c r="B436" s="1" t="str">
        <f t="shared" si="68"/>
        <v>22.01.2020</v>
      </c>
      <c r="C436" s="1" t="str">
        <f t="shared" si="69"/>
        <v>Закрито</v>
      </c>
      <c r="D43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36" s="1" t="str">
        <f>"Земельні питання"</f>
        <v>Земельні питання</v>
      </c>
      <c r="F4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36" s="1" t="str">
        <f>"3"</f>
        <v>3</v>
      </c>
      <c r="H436" s="1" t="str">
        <f>"Результат"</f>
        <v>Результат</v>
      </c>
      <c r="I436" s="1" t="str">
        <f t="shared" si="72"/>
        <v>Позитивний</v>
      </c>
      <c r="J436" s="1" t="str">
        <f>"Ні"</f>
        <v>Ні</v>
      </c>
    </row>
    <row r="437" spans="1:10" ht="225" x14ac:dyDescent="0.25">
      <c r="A437" s="1" t="str">
        <f>"390-2020/27"</f>
        <v>390-2020/27</v>
      </c>
      <c r="B437" s="1" t="str">
        <f t="shared" si="68"/>
        <v>22.01.2020</v>
      </c>
      <c r="C437" s="1" t="str">
        <f t="shared" si="69"/>
        <v>Закрито</v>
      </c>
      <c r="D437" s="1" t="s">
        <v>1</v>
      </c>
      <c r="E437" s="1" t="str">
        <f>"Будівництво"</f>
        <v>Будівництво</v>
      </c>
      <c r="F43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437" s="1" t="str">
        <f>"30"</f>
        <v>30</v>
      </c>
      <c r="H437" s="1" t="str">
        <f>"Результат"</f>
        <v>Результат</v>
      </c>
      <c r="I437" s="1" t="str">
        <f t="shared" si="72"/>
        <v>Позитивний</v>
      </c>
      <c r="J437" s="1" t="str">
        <f>"Ні"</f>
        <v>Ні</v>
      </c>
    </row>
    <row r="438" spans="1:10" ht="135" x14ac:dyDescent="0.25">
      <c r="A438" s="1" t="str">
        <f>"429-2020/27"</f>
        <v>429-2020/27</v>
      </c>
      <c r="B438" s="1" t="str">
        <f t="shared" si="68"/>
        <v>22.01.2020</v>
      </c>
      <c r="C438" s="1" t="str">
        <f t="shared" si="69"/>
        <v>Закрито</v>
      </c>
      <c r="D43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38" s="1" t="str">
        <f>"Земельні питання"</f>
        <v>Земельні питання</v>
      </c>
      <c r="F4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38" s="1" t="str">
        <f>"3"</f>
        <v>3</v>
      </c>
      <c r="H438" s="1" t="str">
        <f>"Результат"</f>
        <v>Результат</v>
      </c>
      <c r="I438" s="1" t="str">
        <f>"Мотивована відмова"</f>
        <v>Мотивована відмова</v>
      </c>
      <c r="J438" s="1" t="str">
        <f>"Ні"</f>
        <v>Ні</v>
      </c>
    </row>
    <row r="439" spans="1:10" ht="45" x14ac:dyDescent="0.25">
      <c r="A439" s="1" t="str">
        <f>"413-2020/27"</f>
        <v>413-2020/27</v>
      </c>
      <c r="B439" s="1" t="str">
        <f t="shared" si="68"/>
        <v>22.01.2020</v>
      </c>
      <c r="C439" s="1" t="str">
        <f t="shared" si="69"/>
        <v>Закрито</v>
      </c>
      <c r="D439" s="1" t="str">
        <f>"Реєстрація місця проживання особи"</f>
        <v>Реєстрація місця проживання особи</v>
      </c>
      <c r="E439" s="1" t="str">
        <f>"Реєстрація місця проживання"</f>
        <v>Реєстрація місця проживання</v>
      </c>
      <c r="F439" s="1" t="str">
        <f>"Відділ реєстрації Новокаховської міської ради"</f>
        <v>Відділ реєстрації Новокаховської міської ради</v>
      </c>
      <c r="G439" s="1" t="str">
        <f>"1"</f>
        <v>1</v>
      </c>
      <c r="H439" s="1" t="str">
        <f>"Результат"</f>
        <v>Результат</v>
      </c>
      <c r="I439" s="1" t="str">
        <f>"Мотивована відмова"</f>
        <v>Мотивована відмова</v>
      </c>
      <c r="J439" s="1" t="str">
        <f>"Так"</f>
        <v>Так</v>
      </c>
    </row>
    <row r="440" spans="1:10" ht="135" x14ac:dyDescent="0.25">
      <c r="A440" s="1" t="str">
        <f>"444-2020/27"</f>
        <v>444-2020/27</v>
      </c>
      <c r="B440" s="1" t="str">
        <f t="shared" si="68"/>
        <v>22.01.2020</v>
      </c>
      <c r="C440" s="1" t="str">
        <f t="shared" si="69"/>
        <v>Закрито</v>
      </c>
      <c r="D44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0" s="1" t="str">
        <f>"Земельні питання"</f>
        <v>Земельні питання</v>
      </c>
      <c r="F4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0" s="1" t="str">
        <f>"3"</f>
        <v>3</v>
      </c>
      <c r="H440" s="1" t="str">
        <f>"Результат"</f>
        <v>Результат</v>
      </c>
      <c r="I440" s="1" t="str">
        <f t="shared" ref="I440:I476" si="73">"Позитивний"</f>
        <v>Позитивний</v>
      </c>
      <c r="J440" s="1" t="str">
        <f t="shared" ref="J440:J445" si="74">"Ні"</f>
        <v>Ні</v>
      </c>
    </row>
    <row r="441" spans="1:10" ht="135" x14ac:dyDescent="0.25">
      <c r="A441" s="1" t="str">
        <f>"433-2020/27"</f>
        <v>433-2020/27</v>
      </c>
      <c r="B441" s="1" t="str">
        <f t="shared" si="68"/>
        <v>22.01.2020</v>
      </c>
      <c r="C441" s="1" t="str">
        <f t="shared" si="69"/>
        <v>Закрито</v>
      </c>
      <c r="D44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1" s="1" t="str">
        <f>"Земельні питання"</f>
        <v>Земельні питання</v>
      </c>
      <c r="F4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1" s="1" t="str">
        <f>"3"</f>
        <v>3</v>
      </c>
      <c r="H441" s="1" t="str">
        <f>"Результат"</f>
        <v>Результат</v>
      </c>
      <c r="I441" s="1" t="str">
        <f t="shared" si="73"/>
        <v>Позитивний</v>
      </c>
      <c r="J441" s="1" t="str">
        <f t="shared" si="74"/>
        <v>Ні</v>
      </c>
    </row>
    <row r="442" spans="1:10" ht="135" x14ac:dyDescent="0.25">
      <c r="A442" s="1" t="str">
        <f>"441-2020/27"</f>
        <v>441-2020/27</v>
      </c>
      <c r="B442" s="1" t="str">
        <f t="shared" si="68"/>
        <v>22.01.2020</v>
      </c>
      <c r="C442" s="1" t="str">
        <f t="shared" si="69"/>
        <v>Закрито</v>
      </c>
      <c r="D44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2" s="1" t="str">
        <f>"Земельні питання"</f>
        <v>Земельні питання</v>
      </c>
      <c r="F4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2" s="1" t="str">
        <f>"3"</f>
        <v>3</v>
      </c>
      <c r="H442" s="1" t="str">
        <f>"Результат"</f>
        <v>Результат</v>
      </c>
      <c r="I442" s="1" t="str">
        <f t="shared" si="73"/>
        <v>Позитивний</v>
      </c>
      <c r="J442" s="1" t="str">
        <f t="shared" si="74"/>
        <v>Ні</v>
      </c>
    </row>
    <row r="443" spans="1:10" ht="135" x14ac:dyDescent="0.25">
      <c r="A443" s="1" t="str">
        <f>"407-2020/27"</f>
        <v>407-2020/27</v>
      </c>
      <c r="B443" s="1" t="str">
        <f t="shared" si="68"/>
        <v>22.01.2020</v>
      </c>
      <c r="C443" s="1" t="str">
        <f t="shared" si="69"/>
        <v>Закрито</v>
      </c>
      <c r="D44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3" s="1" t="str">
        <f>"Земельні питання"</f>
        <v>Земельні питання</v>
      </c>
      <c r="F4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3" s="1" t="str">
        <f>"3"</f>
        <v>3</v>
      </c>
      <c r="H443" s="1" t="str">
        <f>"Результат"</f>
        <v>Результат</v>
      </c>
      <c r="I443" s="1" t="str">
        <f t="shared" si="73"/>
        <v>Позитивний</v>
      </c>
      <c r="J443" s="1" t="str">
        <f t="shared" si="74"/>
        <v>Ні</v>
      </c>
    </row>
    <row r="444" spans="1:10" ht="225" x14ac:dyDescent="0.25">
      <c r="A444" s="1" t="str">
        <f>"393-2020/27"</f>
        <v>393-2020/27</v>
      </c>
      <c r="B444" s="1" t="str">
        <f t="shared" si="68"/>
        <v>22.01.2020</v>
      </c>
      <c r="C444" s="1" t="str">
        <f t="shared" si="69"/>
        <v>Закрито</v>
      </c>
      <c r="D444" s="1" t="s">
        <v>1</v>
      </c>
      <c r="E444" s="1" t="str">
        <f>"Будівництво"</f>
        <v>Будівництво</v>
      </c>
      <c r="F44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444" s="1" t="str">
        <f>"30"</f>
        <v>30</v>
      </c>
      <c r="H444" s="1" t="str">
        <f>"Результат"</f>
        <v>Результат</v>
      </c>
      <c r="I444" s="1" t="str">
        <f t="shared" si="73"/>
        <v>Позитивний</v>
      </c>
      <c r="J444" s="1" t="str">
        <f t="shared" si="74"/>
        <v>Ні</v>
      </c>
    </row>
    <row r="445" spans="1:10" ht="135" x14ac:dyDescent="0.25">
      <c r="A445" s="1" t="str">
        <f>"398-2020/27"</f>
        <v>398-2020/27</v>
      </c>
      <c r="B445" s="1" t="str">
        <f t="shared" si="68"/>
        <v>22.01.2020</v>
      </c>
      <c r="C445" s="1" t="str">
        <f t="shared" si="69"/>
        <v>Закрито</v>
      </c>
      <c r="D4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5" s="1" t="str">
        <f>"Земельні питання"</f>
        <v>Земельні питання</v>
      </c>
      <c r="F4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5" s="1" t="str">
        <f>"3"</f>
        <v>3</v>
      </c>
      <c r="H445" s="1" t="str">
        <f>"Результат"</f>
        <v>Результат</v>
      </c>
      <c r="I445" s="1" t="str">
        <f t="shared" si="73"/>
        <v>Позитивний</v>
      </c>
      <c r="J445" s="1" t="str">
        <f t="shared" si="74"/>
        <v>Ні</v>
      </c>
    </row>
    <row r="446" spans="1:10" ht="45" x14ac:dyDescent="0.25">
      <c r="A446" s="1" t="str">
        <f>"391-2020/27"</f>
        <v>391-2020/27</v>
      </c>
      <c r="B446" s="1" t="str">
        <f t="shared" si="68"/>
        <v>22.01.2020</v>
      </c>
      <c r="C446" s="1" t="str">
        <f t="shared" si="69"/>
        <v>Закрито</v>
      </c>
      <c r="D446" s="1" t="str">
        <f>"Реєстрація місця проживання особи"</f>
        <v>Реєстрація місця проживання особи</v>
      </c>
      <c r="E446" s="1" t="str">
        <f>"Реєстрація місця проживання"</f>
        <v>Реєстрація місця проживання</v>
      </c>
      <c r="F446" s="1" t="str">
        <f>"Відділ реєстрації Новокаховської міської ради"</f>
        <v>Відділ реєстрації Новокаховської міської ради</v>
      </c>
      <c r="G446" s="1" t="str">
        <f>"1"</f>
        <v>1</v>
      </c>
      <c r="H446" s="1" t="str">
        <f>"Результат"</f>
        <v>Результат</v>
      </c>
      <c r="I446" s="1" t="str">
        <f t="shared" si="73"/>
        <v>Позитивний</v>
      </c>
      <c r="J446" s="1" t="str">
        <f>"Так"</f>
        <v>Так</v>
      </c>
    </row>
    <row r="447" spans="1:10" ht="135" x14ac:dyDescent="0.25">
      <c r="A447" s="1" t="str">
        <f>"438-2020/27"</f>
        <v>438-2020/27</v>
      </c>
      <c r="B447" s="1" t="str">
        <f t="shared" si="68"/>
        <v>22.01.2020</v>
      </c>
      <c r="C447" s="1" t="str">
        <f t="shared" si="69"/>
        <v>Закрито</v>
      </c>
      <c r="D44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7" s="1" t="str">
        <f>"Земельні питання"</f>
        <v>Земельні питання</v>
      </c>
      <c r="F4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7" s="1" t="str">
        <f>"3"</f>
        <v>3</v>
      </c>
      <c r="H447" s="1" t="str">
        <f>"Результат"</f>
        <v>Результат</v>
      </c>
      <c r="I447" s="1" t="str">
        <f t="shared" si="73"/>
        <v>Позитивний</v>
      </c>
      <c r="J447" s="1" t="str">
        <f>"Ні"</f>
        <v>Ні</v>
      </c>
    </row>
    <row r="448" spans="1:10" ht="135" x14ac:dyDescent="0.25">
      <c r="A448" s="1" t="str">
        <f>"455-2020/27"</f>
        <v>455-2020/27</v>
      </c>
      <c r="B448" s="1" t="str">
        <f t="shared" si="68"/>
        <v>22.01.2020</v>
      </c>
      <c r="C448" s="1" t="str">
        <f t="shared" si="69"/>
        <v>Закрито</v>
      </c>
      <c r="D44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8" s="1" t="str">
        <f>"Земельні питання"</f>
        <v>Земельні питання</v>
      </c>
      <c r="F4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8" s="1" t="str">
        <f>"3"</f>
        <v>3</v>
      </c>
      <c r="H448" s="1" t="str">
        <f>"Результат"</f>
        <v>Результат</v>
      </c>
      <c r="I448" s="1" t="str">
        <f t="shared" si="73"/>
        <v>Позитивний</v>
      </c>
      <c r="J448" s="1" t="str">
        <f>"Ні"</f>
        <v>Ні</v>
      </c>
    </row>
    <row r="449" spans="1:10" ht="135" x14ac:dyDescent="0.25">
      <c r="A449" s="1" t="str">
        <f>"442-2020/27"</f>
        <v>442-2020/27</v>
      </c>
      <c r="B449" s="1" t="str">
        <f t="shared" si="68"/>
        <v>22.01.2020</v>
      </c>
      <c r="C449" s="1" t="str">
        <f t="shared" si="69"/>
        <v>Закрито</v>
      </c>
      <c r="D44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49" s="1" t="str">
        <f>"Земельні питання"</f>
        <v>Земельні питання</v>
      </c>
      <c r="F4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49" s="1" t="str">
        <f>"3"</f>
        <v>3</v>
      </c>
      <c r="H449" s="1" t="str">
        <f>"Результат"</f>
        <v>Результат</v>
      </c>
      <c r="I449" s="1" t="str">
        <f t="shared" si="73"/>
        <v>Позитивний</v>
      </c>
      <c r="J449" s="1" t="str">
        <f>"Ні"</f>
        <v>Ні</v>
      </c>
    </row>
    <row r="450" spans="1:10" ht="135" x14ac:dyDescent="0.25">
      <c r="A450" s="1" t="str">
        <f>"431-2020/27"</f>
        <v>431-2020/27</v>
      </c>
      <c r="B450" s="1" t="str">
        <f t="shared" si="68"/>
        <v>22.01.2020</v>
      </c>
      <c r="C450" s="1" t="str">
        <f t="shared" si="69"/>
        <v>Закрито</v>
      </c>
      <c r="D450" s="1" t="str">
        <f>"Надання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(плану)"</f>
        <v>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</v>
      </c>
      <c r="E450" s="1" t="str">
        <f>"Земельні питання"</f>
        <v>Земельні питання</v>
      </c>
      <c r="F4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50" s="1" t="str">
        <f>"3"</f>
        <v>3</v>
      </c>
      <c r="H450" s="1" t="str">
        <f>"Результат"</f>
        <v>Результат</v>
      </c>
      <c r="I450" s="1" t="str">
        <f t="shared" si="73"/>
        <v>Позитивний</v>
      </c>
      <c r="J450" s="1" t="str">
        <f>"Так"</f>
        <v>Так</v>
      </c>
    </row>
    <row r="451" spans="1:10" ht="90" x14ac:dyDescent="0.25">
      <c r="A451" s="1" t="str">
        <f>"425-2020/27"</f>
        <v>425-2020/27</v>
      </c>
      <c r="B451" s="1" t="str">
        <f t="shared" ref="B451:B463" si="75">"22.01.2020"</f>
        <v>22.01.2020</v>
      </c>
      <c r="C451" s="1" t="str">
        <f t="shared" si="69"/>
        <v>Закрито</v>
      </c>
      <c r="D45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51" s="1" t="str">
        <f>"Інші послуги"</f>
        <v>Інші послуги</v>
      </c>
      <c r="F45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51" s="1" t="str">
        <f>"5"</f>
        <v>5</v>
      </c>
      <c r="H451" s="1" t="str">
        <f>"Результат"</f>
        <v>Результат</v>
      </c>
      <c r="I451" s="1" t="str">
        <f t="shared" si="73"/>
        <v>Позитивний</v>
      </c>
      <c r="J451" s="1" t="str">
        <f>"Ні"</f>
        <v>Ні</v>
      </c>
    </row>
    <row r="452" spans="1:10" ht="105" x14ac:dyDescent="0.25">
      <c r="A452" s="1" t="str">
        <f>"388-2020/27"</f>
        <v>388-2020/27</v>
      </c>
      <c r="B452" s="1" t="str">
        <f t="shared" si="75"/>
        <v>22.01.2020</v>
      </c>
      <c r="C452" s="1" t="str">
        <f t="shared" si="69"/>
        <v>Закрито</v>
      </c>
      <c r="D4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52" s="1" t="str">
        <f>"Земельні питання"</f>
        <v>Земельні питання</v>
      </c>
      <c r="F45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452" s="1" t="str">
        <f>"1"</f>
        <v>1</v>
      </c>
      <c r="H452" s="1" t="str">
        <f>"Результат"</f>
        <v>Результат</v>
      </c>
      <c r="I452" s="1" t="str">
        <f t="shared" si="73"/>
        <v>Позитивний</v>
      </c>
      <c r="J452" s="1" t="str">
        <f>"Ні"</f>
        <v>Ні</v>
      </c>
    </row>
    <row r="453" spans="1:10" ht="135" x14ac:dyDescent="0.25">
      <c r="A453" s="1" t="str">
        <f>"412-2020/27"</f>
        <v>412-2020/27</v>
      </c>
      <c r="B453" s="1" t="str">
        <f t="shared" si="75"/>
        <v>22.01.2020</v>
      </c>
      <c r="C453" s="1" t="str">
        <f t="shared" ref="C453:C516" si="76">"Закрито"</f>
        <v>Закрито</v>
      </c>
      <c r="D45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53" s="1" t="str">
        <f>"Земельні питання"</f>
        <v>Земельні питання</v>
      </c>
      <c r="F4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53" s="1" t="str">
        <f>"3"</f>
        <v>3</v>
      </c>
      <c r="H453" s="1" t="str">
        <f>"Результат"</f>
        <v>Результат</v>
      </c>
      <c r="I453" s="1" t="str">
        <f t="shared" si="73"/>
        <v>Позитивний</v>
      </c>
      <c r="J453" s="1" t="str">
        <f>"Ні"</f>
        <v>Ні</v>
      </c>
    </row>
    <row r="454" spans="1:10" ht="135" x14ac:dyDescent="0.25">
      <c r="A454" s="1" t="str">
        <f>"439-2020/27"</f>
        <v>439-2020/27</v>
      </c>
      <c r="B454" s="1" t="str">
        <f t="shared" si="75"/>
        <v>22.01.2020</v>
      </c>
      <c r="C454" s="1" t="str">
        <f t="shared" si="76"/>
        <v>Закрито</v>
      </c>
      <c r="D45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54" s="1" t="str">
        <f>"Земельні питання"</f>
        <v>Земельні питання</v>
      </c>
      <c r="F4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54" s="1" t="str">
        <f>"3"</f>
        <v>3</v>
      </c>
      <c r="H454" s="1" t="str">
        <f>"Результат"</f>
        <v>Результат</v>
      </c>
      <c r="I454" s="1" t="str">
        <f t="shared" si="73"/>
        <v>Позитивний</v>
      </c>
      <c r="J454" s="1" t="str">
        <f>"Ні"</f>
        <v>Ні</v>
      </c>
    </row>
    <row r="455" spans="1:10" ht="45" x14ac:dyDescent="0.25">
      <c r="A455" s="1" t="str">
        <f>"414-2020/27"</f>
        <v>414-2020/27</v>
      </c>
      <c r="B455" s="1" t="str">
        <f t="shared" si="75"/>
        <v>22.01.2020</v>
      </c>
      <c r="C455" s="1" t="str">
        <f t="shared" si="76"/>
        <v>Закрито</v>
      </c>
      <c r="D455" s="1" t="str">
        <f>"Реєстрація місця проживання особи"</f>
        <v>Реєстрація місця проживання особи</v>
      </c>
      <c r="E455" s="1" t="str">
        <f>"Реєстрація місця проживання"</f>
        <v>Реєстрація місця проживання</v>
      </c>
      <c r="F455" s="1" t="str">
        <f>"Відділ реєстрації Новокаховської міської ради"</f>
        <v>Відділ реєстрації Новокаховської міської ради</v>
      </c>
      <c r="G455" s="1" t="str">
        <f>"1"</f>
        <v>1</v>
      </c>
      <c r="H455" s="1" t="str">
        <f>"Результат"</f>
        <v>Результат</v>
      </c>
      <c r="I455" s="1" t="str">
        <f t="shared" si="73"/>
        <v>Позитивний</v>
      </c>
      <c r="J455" s="1" t="str">
        <f>"Так"</f>
        <v>Так</v>
      </c>
    </row>
    <row r="456" spans="1:10" ht="135" x14ac:dyDescent="0.25">
      <c r="A456" s="1" t="str">
        <f>"449-2020/27"</f>
        <v>449-2020/27</v>
      </c>
      <c r="B456" s="1" t="str">
        <f t="shared" si="75"/>
        <v>22.01.2020</v>
      </c>
      <c r="C456" s="1" t="str">
        <f t="shared" si="76"/>
        <v>Закрито</v>
      </c>
      <c r="D4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56" s="1" t="str">
        <f>"Земельні питання"</f>
        <v>Земельні питання</v>
      </c>
      <c r="F4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56" s="1" t="str">
        <f>"3"</f>
        <v>3</v>
      </c>
      <c r="H456" s="1" t="str">
        <f>"Результат"</f>
        <v>Результат</v>
      </c>
      <c r="I456" s="1" t="str">
        <f t="shared" si="73"/>
        <v>Позитивний</v>
      </c>
      <c r="J456" s="1" t="str">
        <f>"Ні"</f>
        <v>Ні</v>
      </c>
    </row>
    <row r="457" spans="1:10" ht="90" x14ac:dyDescent="0.25">
      <c r="A457" s="1" t="str">
        <f>"424-2020/27"</f>
        <v>424-2020/27</v>
      </c>
      <c r="B457" s="1" t="str">
        <f t="shared" si="75"/>
        <v>22.01.2020</v>
      </c>
      <c r="C457" s="1" t="str">
        <f t="shared" si="76"/>
        <v>Закрито</v>
      </c>
      <c r="D45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57" s="1" t="str">
        <f>"Інші послуги"</f>
        <v>Інші послуги</v>
      </c>
      <c r="F45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57" s="1" t="str">
        <f>"5"</f>
        <v>5</v>
      </c>
      <c r="H457" s="1" t="str">
        <f>"Результат"</f>
        <v>Результат</v>
      </c>
      <c r="I457" s="1" t="str">
        <f t="shared" si="73"/>
        <v>Позитивний</v>
      </c>
      <c r="J457" s="1" t="str">
        <f>"Ні"</f>
        <v>Ні</v>
      </c>
    </row>
    <row r="458" spans="1:10" ht="135" x14ac:dyDescent="0.25">
      <c r="A458" s="1" t="str">
        <f>"440-2020/27"</f>
        <v>440-2020/27</v>
      </c>
      <c r="B458" s="1" t="str">
        <f t="shared" si="75"/>
        <v>22.01.2020</v>
      </c>
      <c r="C458" s="1" t="str">
        <f t="shared" si="76"/>
        <v>Закрито</v>
      </c>
      <c r="D45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58" s="1" t="str">
        <f>"Земельні питання"</f>
        <v>Земельні питання</v>
      </c>
      <c r="F4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58" s="1" t="str">
        <f>"3"</f>
        <v>3</v>
      </c>
      <c r="H458" s="1" t="str">
        <f>"Результат"</f>
        <v>Результат</v>
      </c>
      <c r="I458" s="1" t="str">
        <f t="shared" si="73"/>
        <v>Позитивний</v>
      </c>
      <c r="J458" s="1" t="str">
        <f>"Ні"</f>
        <v>Ні</v>
      </c>
    </row>
    <row r="459" spans="1:10" ht="135" x14ac:dyDescent="0.25">
      <c r="A459" s="1" t="str">
        <f>"409-2020/27"</f>
        <v>409-2020/27</v>
      </c>
      <c r="B459" s="1" t="str">
        <f t="shared" si="75"/>
        <v>22.01.2020</v>
      </c>
      <c r="C459" s="1" t="str">
        <f t="shared" si="76"/>
        <v>Закрито</v>
      </c>
      <c r="D45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59" s="1" t="str">
        <f>"Земельні питання"</f>
        <v>Земельні питання</v>
      </c>
      <c r="F4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59" s="1" t="str">
        <f>"3"</f>
        <v>3</v>
      </c>
      <c r="H459" s="1" t="str">
        <f>"Результат"</f>
        <v>Результат</v>
      </c>
      <c r="I459" s="1" t="str">
        <f t="shared" si="73"/>
        <v>Позитивний</v>
      </c>
      <c r="J459" s="1" t="str">
        <f>"Ні"</f>
        <v>Ні</v>
      </c>
    </row>
    <row r="460" spans="1:10" ht="135" x14ac:dyDescent="0.25">
      <c r="A460" s="1" t="str">
        <f>"411-2020/27"</f>
        <v>411-2020/27</v>
      </c>
      <c r="B460" s="1" t="str">
        <f t="shared" si="75"/>
        <v>22.01.2020</v>
      </c>
      <c r="C460" s="1" t="str">
        <f t="shared" si="76"/>
        <v>Закрито</v>
      </c>
      <c r="D46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60" s="1" t="str">
        <f>"Земельні питання"</f>
        <v>Земельні питання</v>
      </c>
      <c r="F4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0" s="1" t="str">
        <f>"3"</f>
        <v>3</v>
      </c>
      <c r="H460" s="1" t="str">
        <f>"Результат"</f>
        <v>Результат</v>
      </c>
      <c r="I460" s="1" t="str">
        <f t="shared" si="73"/>
        <v>Позитивний</v>
      </c>
      <c r="J460" s="1" t="str">
        <f>"Ні"</f>
        <v>Ні</v>
      </c>
    </row>
    <row r="461" spans="1:10" ht="45" x14ac:dyDescent="0.25">
      <c r="A461" s="1" t="str">
        <f>"416-2020/27"</f>
        <v>416-2020/27</v>
      </c>
      <c r="B461" s="1" t="str">
        <f t="shared" si="75"/>
        <v>22.01.2020</v>
      </c>
      <c r="C461" s="1" t="str">
        <f t="shared" si="76"/>
        <v>Закрито</v>
      </c>
      <c r="D461" s="1" t="str">
        <f>"Реєстрація місця проживання особи"</f>
        <v>Реєстрація місця проживання особи</v>
      </c>
      <c r="E461" s="1" t="str">
        <f>"Реєстрація місця проживання"</f>
        <v>Реєстрація місця проживання</v>
      </c>
      <c r="F461" s="1" t="str">
        <f>"Відділ реєстрації Новокаховської міської ради"</f>
        <v>Відділ реєстрації Новокаховської міської ради</v>
      </c>
      <c r="G461" s="1" t="str">
        <f>"1"</f>
        <v>1</v>
      </c>
      <c r="H461" s="1" t="str">
        <f>"Результат"</f>
        <v>Результат</v>
      </c>
      <c r="I461" s="1" t="str">
        <f t="shared" si="73"/>
        <v>Позитивний</v>
      </c>
      <c r="J461" s="1" t="str">
        <f>"Так"</f>
        <v>Так</v>
      </c>
    </row>
    <row r="462" spans="1:10" ht="135" x14ac:dyDescent="0.25">
      <c r="A462" s="1" t="str">
        <f>"451-2020/27"</f>
        <v>451-2020/27</v>
      </c>
      <c r="B462" s="1" t="str">
        <f t="shared" si="75"/>
        <v>22.01.2020</v>
      </c>
      <c r="C462" s="1" t="str">
        <f t="shared" si="76"/>
        <v>Закрито</v>
      </c>
      <c r="D46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62" s="1" t="str">
        <f t="shared" ref="E462:E468" si="77">"Земельні питання"</f>
        <v>Земельні питання</v>
      </c>
      <c r="F462" s="1" t="str">
        <f t="shared" ref="F462:F468" si="78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2" s="1" t="str">
        <f>"3"</f>
        <v>3</v>
      </c>
      <c r="H462" s="1" t="str">
        <f>"Результат"</f>
        <v>Результат</v>
      </c>
      <c r="I462" s="1" t="str">
        <f t="shared" si="73"/>
        <v>Позитивний</v>
      </c>
      <c r="J462" s="1" t="str">
        <f t="shared" ref="J462:J468" si="79">"Ні"</f>
        <v>Ні</v>
      </c>
    </row>
    <row r="463" spans="1:10" ht="135" x14ac:dyDescent="0.25">
      <c r="A463" s="1" t="str">
        <f>"448-2020/27"</f>
        <v>448-2020/27</v>
      </c>
      <c r="B463" s="1" t="str">
        <f t="shared" si="75"/>
        <v>22.01.2020</v>
      </c>
      <c r="C463" s="1" t="str">
        <f t="shared" si="76"/>
        <v>Закрито</v>
      </c>
      <c r="D46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63" s="1" t="str">
        <f t="shared" si="77"/>
        <v>Земельні питання</v>
      </c>
      <c r="F463" s="1" t="str">
        <f t="shared" si="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3" s="1" t="str">
        <f>"3"</f>
        <v>3</v>
      </c>
      <c r="H463" s="1" t="str">
        <f>"Результат"</f>
        <v>Результат</v>
      </c>
      <c r="I463" s="1" t="str">
        <f t="shared" si="73"/>
        <v>Позитивний</v>
      </c>
      <c r="J463" s="1" t="str">
        <f t="shared" si="79"/>
        <v>Ні</v>
      </c>
    </row>
    <row r="464" spans="1:10" ht="135" x14ac:dyDescent="0.25">
      <c r="A464" s="1" t="str">
        <f>"480-2020/27"</f>
        <v>480-2020/27</v>
      </c>
      <c r="B464" s="1" t="str">
        <f t="shared" ref="B464:B497" si="80">"23.01.2020"</f>
        <v>23.01.2020</v>
      </c>
      <c r="C464" s="1" t="str">
        <f t="shared" si="76"/>
        <v>Закрито</v>
      </c>
      <c r="D46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464" s="1" t="str">
        <f t="shared" si="77"/>
        <v>Земельні питання</v>
      </c>
      <c r="F464" s="1" t="str">
        <f t="shared" si="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4" s="1" t="str">
        <f>"14"</f>
        <v>14</v>
      </c>
      <c r="H464" s="1" t="str">
        <f>"Результат"</f>
        <v>Результат</v>
      </c>
      <c r="I464" s="1" t="str">
        <f t="shared" si="73"/>
        <v>Позитивний</v>
      </c>
      <c r="J464" s="1" t="str">
        <f t="shared" si="79"/>
        <v>Ні</v>
      </c>
    </row>
    <row r="465" spans="1:10" ht="135" x14ac:dyDescent="0.25">
      <c r="A465" s="1" t="str">
        <f>"481-2020/27"</f>
        <v>481-2020/27</v>
      </c>
      <c r="B465" s="1" t="str">
        <f t="shared" si="80"/>
        <v>23.01.2020</v>
      </c>
      <c r="C465" s="1" t="str">
        <f t="shared" si="76"/>
        <v>Закрито</v>
      </c>
      <c r="D46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465" s="1" t="str">
        <f t="shared" si="77"/>
        <v>Земельні питання</v>
      </c>
      <c r="F465" s="1" t="str">
        <f t="shared" si="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5" s="1" t="str">
        <f>"14"</f>
        <v>14</v>
      </c>
      <c r="H465" s="1" t="str">
        <f>"Результат"</f>
        <v>Результат</v>
      </c>
      <c r="I465" s="1" t="str">
        <f t="shared" si="73"/>
        <v>Позитивний</v>
      </c>
      <c r="J465" s="1" t="str">
        <f t="shared" si="79"/>
        <v>Ні</v>
      </c>
    </row>
    <row r="466" spans="1:10" ht="135" x14ac:dyDescent="0.25">
      <c r="A466" s="1" t="str">
        <f>"488-2020/27"</f>
        <v>488-2020/27</v>
      </c>
      <c r="B466" s="1" t="str">
        <f t="shared" si="80"/>
        <v>23.01.2020</v>
      </c>
      <c r="C466" s="1" t="str">
        <f t="shared" si="76"/>
        <v>Закрито</v>
      </c>
      <c r="D4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66" s="1" t="str">
        <f t="shared" si="77"/>
        <v>Земельні питання</v>
      </c>
      <c r="F466" s="1" t="str">
        <f t="shared" si="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6" s="1" t="str">
        <f>"3"</f>
        <v>3</v>
      </c>
      <c r="H466" s="1" t="str">
        <f>"Результат"</f>
        <v>Результат</v>
      </c>
      <c r="I466" s="1" t="str">
        <f t="shared" si="73"/>
        <v>Позитивний</v>
      </c>
      <c r="J466" s="1" t="str">
        <f t="shared" si="79"/>
        <v>Ні</v>
      </c>
    </row>
    <row r="467" spans="1:10" ht="135" x14ac:dyDescent="0.25">
      <c r="A467" s="1" t="str">
        <f>"479-2020/27"</f>
        <v>479-2020/27</v>
      </c>
      <c r="B467" s="1" t="str">
        <f t="shared" si="80"/>
        <v>23.01.2020</v>
      </c>
      <c r="C467" s="1" t="str">
        <f t="shared" si="76"/>
        <v>Закрито</v>
      </c>
      <c r="D46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67" s="1" t="str">
        <f t="shared" si="77"/>
        <v>Земельні питання</v>
      </c>
      <c r="F467" s="1" t="str">
        <f t="shared" si="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7" s="1" t="str">
        <f>"3"</f>
        <v>3</v>
      </c>
      <c r="H467" s="1" t="str">
        <f>"Результат"</f>
        <v>Результат</v>
      </c>
      <c r="I467" s="1" t="str">
        <f t="shared" si="73"/>
        <v>Позитивний</v>
      </c>
      <c r="J467" s="1" t="str">
        <f t="shared" si="79"/>
        <v>Ні</v>
      </c>
    </row>
    <row r="468" spans="1:10" ht="135" x14ac:dyDescent="0.25">
      <c r="A468" s="1" t="str">
        <f>"478-2020/27"</f>
        <v>478-2020/27</v>
      </c>
      <c r="B468" s="1" t="str">
        <f t="shared" si="80"/>
        <v>23.01.2020</v>
      </c>
      <c r="C468" s="1" t="str">
        <f t="shared" si="76"/>
        <v>Закрито</v>
      </c>
      <c r="D46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68" s="1" t="str">
        <f t="shared" si="77"/>
        <v>Земельні питання</v>
      </c>
      <c r="F468" s="1" t="str">
        <f t="shared" si="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68" s="1" t="str">
        <f>"3"</f>
        <v>3</v>
      </c>
      <c r="H468" s="1" t="str">
        <f>"Результат"</f>
        <v>Результат</v>
      </c>
      <c r="I468" s="1" t="str">
        <f t="shared" si="73"/>
        <v>Позитивний</v>
      </c>
      <c r="J468" s="1" t="str">
        <f t="shared" si="79"/>
        <v>Ні</v>
      </c>
    </row>
    <row r="469" spans="1:10" ht="45" x14ac:dyDescent="0.25">
      <c r="A469" s="1" t="str">
        <f>"463-2020/27"</f>
        <v>463-2020/27</v>
      </c>
      <c r="B469" s="1" t="str">
        <f t="shared" si="80"/>
        <v>23.01.2020</v>
      </c>
      <c r="C469" s="1" t="str">
        <f t="shared" si="76"/>
        <v>Закрито</v>
      </c>
      <c r="D469" s="1" t="str">
        <f>"Реєстрація місця проживання особи"</f>
        <v>Реєстрація місця проживання особи</v>
      </c>
      <c r="E469" s="1" t="str">
        <f>"Реєстрація місця проживання"</f>
        <v>Реєстрація місця проживання</v>
      </c>
      <c r="F469" s="1" t="str">
        <f>"Відділ реєстрації Новокаховської міської ради"</f>
        <v>Відділ реєстрації Новокаховської міської ради</v>
      </c>
      <c r="G469" s="1" t="str">
        <f>"1"</f>
        <v>1</v>
      </c>
      <c r="H469" s="1" t="str">
        <f>"Результат"</f>
        <v>Результат</v>
      </c>
      <c r="I469" s="1" t="str">
        <f t="shared" si="73"/>
        <v>Позитивний</v>
      </c>
      <c r="J469" s="1" t="str">
        <f>"Так"</f>
        <v>Так</v>
      </c>
    </row>
    <row r="470" spans="1:10" ht="45" x14ac:dyDescent="0.25">
      <c r="A470" s="1" t="str">
        <f>"464-2020/27"</f>
        <v>464-2020/27</v>
      </c>
      <c r="B470" s="1" t="str">
        <f t="shared" si="80"/>
        <v>23.01.2020</v>
      </c>
      <c r="C470" s="1" t="str">
        <f t="shared" si="76"/>
        <v>Закрито</v>
      </c>
      <c r="D470" s="1" t="str">
        <f>"Зняття з реєстрації місця проживання"</f>
        <v>Зняття з реєстрації місця проживання</v>
      </c>
      <c r="E470" s="1" t="str">
        <f>"Реєстрація місця проживання"</f>
        <v>Реєстрація місця проживання</v>
      </c>
      <c r="F470" s="1" t="str">
        <f>"Відділ реєстрації Новокаховської міської ради"</f>
        <v>Відділ реєстрації Новокаховської міської ради</v>
      </c>
      <c r="G470" s="1" t="str">
        <f>"1"</f>
        <v>1</v>
      </c>
      <c r="H470" s="1" t="str">
        <f>"Результат"</f>
        <v>Результат</v>
      </c>
      <c r="I470" s="1" t="str">
        <f t="shared" si="73"/>
        <v>Позитивний</v>
      </c>
      <c r="J470" s="1" t="str">
        <f>"Так"</f>
        <v>Так</v>
      </c>
    </row>
    <row r="471" spans="1:10" ht="135" x14ac:dyDescent="0.25">
      <c r="A471" s="1" t="str">
        <f>"486-2020/27"</f>
        <v>486-2020/27</v>
      </c>
      <c r="B471" s="1" t="str">
        <f t="shared" si="80"/>
        <v>23.01.2020</v>
      </c>
      <c r="C471" s="1" t="str">
        <f t="shared" si="76"/>
        <v>Закрито</v>
      </c>
      <c r="D47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71" s="1" t="str">
        <f>"Земельні питання"</f>
        <v>Земельні питання</v>
      </c>
      <c r="F4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71" s="1" t="str">
        <f>"3"</f>
        <v>3</v>
      </c>
      <c r="H471" s="1" t="str">
        <f>"Результат"</f>
        <v>Результат</v>
      </c>
      <c r="I471" s="1" t="str">
        <f t="shared" si="73"/>
        <v>Позитивний</v>
      </c>
      <c r="J471" s="1" t="str">
        <f>"Ні"</f>
        <v>Ні</v>
      </c>
    </row>
    <row r="472" spans="1:10" ht="225" x14ac:dyDescent="0.25">
      <c r="A472" s="1" t="str">
        <f>"469-2020/27"</f>
        <v>469-2020/27</v>
      </c>
      <c r="B472" s="1" t="str">
        <f t="shared" si="80"/>
        <v>23.01.2020</v>
      </c>
      <c r="C472" s="1" t="str">
        <f t="shared" si="76"/>
        <v>Закрито</v>
      </c>
      <c r="D472" s="1" t="s">
        <v>1</v>
      </c>
      <c r="E472" s="1" t="str">
        <f>"Будівництво"</f>
        <v>Будівництво</v>
      </c>
      <c r="F47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472" s="1" t="str">
        <f>"30"</f>
        <v>30</v>
      </c>
      <c r="H472" s="1" t="str">
        <f>"Результат"</f>
        <v>Результат</v>
      </c>
      <c r="I472" s="1" t="str">
        <f t="shared" si="73"/>
        <v>Позитивний</v>
      </c>
      <c r="J472" s="1" t="str">
        <f>"Ні"</f>
        <v>Ні</v>
      </c>
    </row>
    <row r="473" spans="1:10" ht="45" x14ac:dyDescent="0.25">
      <c r="A473" s="1" t="str">
        <f>"459-2020/27"</f>
        <v>459-2020/27</v>
      </c>
      <c r="B473" s="1" t="str">
        <f t="shared" si="80"/>
        <v>23.01.2020</v>
      </c>
      <c r="C473" s="1" t="str">
        <f t="shared" si="76"/>
        <v>Закрито</v>
      </c>
      <c r="D473" s="1" t="str">
        <f>"Реєстрація місця проживання особи"</f>
        <v>Реєстрація місця проживання особи</v>
      </c>
      <c r="E473" s="1" t="str">
        <f>"Реєстрація місця проживання"</f>
        <v>Реєстрація місця проживання</v>
      </c>
      <c r="F473" s="1" t="str">
        <f>"Відділ реєстрації Новокаховської міської ради"</f>
        <v>Відділ реєстрації Новокаховської міської ради</v>
      </c>
      <c r="G473" s="1" t="str">
        <f>"1"</f>
        <v>1</v>
      </c>
      <c r="H473" s="1" t="str">
        <f>"Результат"</f>
        <v>Результат</v>
      </c>
      <c r="I473" s="1" t="str">
        <f t="shared" si="73"/>
        <v>Позитивний</v>
      </c>
      <c r="J473" s="1" t="str">
        <f>"Так"</f>
        <v>Так</v>
      </c>
    </row>
    <row r="474" spans="1:10" ht="90" x14ac:dyDescent="0.25">
      <c r="A474" s="1" t="str">
        <f>"461-2020/27"</f>
        <v>461-2020/27</v>
      </c>
      <c r="B474" s="1" t="str">
        <f t="shared" si="80"/>
        <v>23.01.2020</v>
      </c>
      <c r="C474" s="1" t="str">
        <f t="shared" si="76"/>
        <v>Закрито</v>
      </c>
      <c r="D47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74" s="1" t="str">
        <f>"Інші послуги"</f>
        <v>Інші послуги</v>
      </c>
      <c r="F47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74" s="1" t="str">
        <f>"5"</f>
        <v>5</v>
      </c>
      <c r="H474" s="1" t="str">
        <f>"Результат"</f>
        <v>Результат</v>
      </c>
      <c r="I474" s="1" t="str">
        <f t="shared" si="73"/>
        <v>Позитивний</v>
      </c>
      <c r="J474" s="1" t="str">
        <f t="shared" ref="J474:J481" si="81">"Ні"</f>
        <v>Ні</v>
      </c>
    </row>
    <row r="475" spans="1:10" ht="135" x14ac:dyDescent="0.25">
      <c r="A475" s="1" t="str">
        <f>"476-2020/27"</f>
        <v>476-2020/27</v>
      </c>
      <c r="B475" s="1" t="str">
        <f t="shared" si="80"/>
        <v>23.01.2020</v>
      </c>
      <c r="C475" s="1" t="str">
        <f t="shared" si="76"/>
        <v>Закрито</v>
      </c>
      <c r="D47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475" s="1" t="str">
        <f>"Земельні питання"</f>
        <v>Земельні питання</v>
      </c>
      <c r="F4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75" s="1" t="str">
        <f>"14"</f>
        <v>14</v>
      </c>
      <c r="H475" s="1" t="str">
        <f>"Результат"</f>
        <v>Результат</v>
      </c>
      <c r="I475" s="1" t="str">
        <f t="shared" si="73"/>
        <v>Позитивний</v>
      </c>
      <c r="J475" s="1" t="str">
        <f t="shared" si="81"/>
        <v>Ні</v>
      </c>
    </row>
    <row r="476" spans="1:10" ht="90" x14ac:dyDescent="0.25">
      <c r="A476" s="1" t="str">
        <f>"465-2020/27"</f>
        <v>465-2020/27</v>
      </c>
      <c r="B476" s="1" t="str">
        <f t="shared" si="80"/>
        <v>23.01.2020</v>
      </c>
      <c r="C476" s="1" t="str">
        <f t="shared" si="76"/>
        <v>Закрито</v>
      </c>
      <c r="D47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76" s="1" t="str">
        <f>"Інші послуги"</f>
        <v>Інші послуги</v>
      </c>
      <c r="F47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76" s="1" t="str">
        <f>"5"</f>
        <v>5</v>
      </c>
      <c r="H476" s="1" t="str">
        <f>"Результат"</f>
        <v>Результат</v>
      </c>
      <c r="I476" s="1" t="str">
        <f t="shared" si="73"/>
        <v>Позитивний</v>
      </c>
      <c r="J476" s="1" t="str">
        <f t="shared" si="81"/>
        <v>Ні</v>
      </c>
    </row>
    <row r="477" spans="1:10" ht="195" x14ac:dyDescent="0.25">
      <c r="A477" s="1" t="str">
        <f>"466-2020/27"</f>
        <v>466-2020/27</v>
      </c>
      <c r="B477" s="1" t="str">
        <f t="shared" si="80"/>
        <v>23.01.2020</v>
      </c>
      <c r="C477" s="1" t="str">
        <f t="shared" si="76"/>
        <v>Закрито</v>
      </c>
      <c r="D477" s="1" t="str">
        <f>"Державна реєстрація змін до відомостей про громадське об'єднання, що містяться в Єдиному державному реєстрі юридичних осіб, фізичних осіб – підприємців та громадських формувань, у тому числі змін до установчих документів"</f>
        <v>Державна реєстрація змін до відомостей про громадське об'єднання, що містяться в Єдиному державному реєстрі юридичних осіб, фізичних осіб – підприємців та громадських формувань, у тому числі змін до установчих документів</v>
      </c>
      <c r="E477" s="1" t="str">
        <f>"Державна реєстрація громадських об’єднань"</f>
        <v>Державна реєстрація громадських об’єднань</v>
      </c>
      <c r="F477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477" s="1" t="str">
        <f>"3"</f>
        <v>3</v>
      </c>
      <c r="H477" s="1" t="str">
        <f>"Результат"</f>
        <v>Результат</v>
      </c>
      <c r="I477" s="1" t="str">
        <f>"Мотивована відмова"</f>
        <v>Мотивована відмова</v>
      </c>
      <c r="J477" s="1" t="str">
        <f t="shared" si="81"/>
        <v>Ні</v>
      </c>
    </row>
    <row r="478" spans="1:10" ht="135" x14ac:dyDescent="0.25">
      <c r="A478" s="1" t="str">
        <f>"470-2020/27"</f>
        <v>470-2020/27</v>
      </c>
      <c r="B478" s="1" t="str">
        <f t="shared" si="80"/>
        <v>23.01.2020</v>
      </c>
      <c r="C478" s="1" t="str">
        <f t="shared" si="76"/>
        <v>Закрито</v>
      </c>
      <c r="D47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78" s="1" t="str">
        <f>"Земельні питання"</f>
        <v>Земельні питання</v>
      </c>
      <c r="F4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78" s="1" t="str">
        <f>"3"</f>
        <v>3</v>
      </c>
      <c r="H478" s="1" t="str">
        <f>"Результат"</f>
        <v>Результат</v>
      </c>
      <c r="I478" s="1" t="str">
        <f t="shared" ref="I478:I487" si="82">"Позитивний"</f>
        <v>Позитивний</v>
      </c>
      <c r="J478" s="1" t="str">
        <f t="shared" si="81"/>
        <v>Ні</v>
      </c>
    </row>
    <row r="479" spans="1:10" ht="135" x14ac:dyDescent="0.25">
      <c r="A479" s="1" t="str">
        <f>"484-2020/27"</f>
        <v>484-2020/27</v>
      </c>
      <c r="B479" s="1" t="str">
        <f t="shared" si="80"/>
        <v>23.01.2020</v>
      </c>
      <c r="C479" s="1" t="str">
        <f t="shared" si="76"/>
        <v>Закрито</v>
      </c>
      <c r="D47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79" s="1" t="str">
        <f>"Земельні питання"</f>
        <v>Земельні питання</v>
      </c>
      <c r="F4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79" s="1" t="str">
        <f>"3"</f>
        <v>3</v>
      </c>
      <c r="H479" s="1" t="str">
        <f>"Результат"</f>
        <v>Результат</v>
      </c>
      <c r="I479" s="1" t="str">
        <f t="shared" si="82"/>
        <v>Позитивний</v>
      </c>
      <c r="J479" s="1" t="str">
        <f t="shared" si="81"/>
        <v>Ні</v>
      </c>
    </row>
    <row r="480" spans="1:10" ht="135" x14ac:dyDescent="0.25">
      <c r="A480" s="1" t="str">
        <f>"467-2020/27"</f>
        <v>467-2020/27</v>
      </c>
      <c r="B480" s="1" t="str">
        <f t="shared" si="80"/>
        <v>23.01.2020</v>
      </c>
      <c r="C480" s="1" t="str">
        <f t="shared" si="76"/>
        <v>Закрито</v>
      </c>
      <c r="D48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80" s="1" t="str">
        <f>"Земельні питання"</f>
        <v>Земельні питання</v>
      </c>
      <c r="F4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80" s="1" t="str">
        <f>"3"</f>
        <v>3</v>
      </c>
      <c r="H480" s="1" t="str">
        <f>"Результат"</f>
        <v>Результат</v>
      </c>
      <c r="I480" s="1" t="str">
        <f t="shared" si="82"/>
        <v>Позитивний</v>
      </c>
      <c r="J480" s="1" t="str">
        <f t="shared" si="81"/>
        <v>Ні</v>
      </c>
    </row>
    <row r="481" spans="1:10" ht="135" x14ac:dyDescent="0.25">
      <c r="A481" s="1" t="str">
        <f>"489-2020/27"</f>
        <v>489-2020/27</v>
      </c>
      <c r="B481" s="1" t="str">
        <f t="shared" si="80"/>
        <v>23.01.2020</v>
      </c>
      <c r="C481" s="1" t="str">
        <f t="shared" si="76"/>
        <v>Закрито</v>
      </c>
      <c r="D48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81" s="1" t="str">
        <f>"Земельні питання"</f>
        <v>Земельні питання</v>
      </c>
      <c r="F4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81" s="1" t="str">
        <f>"3"</f>
        <v>3</v>
      </c>
      <c r="H481" s="1" t="str">
        <f>"Результат"</f>
        <v>Результат</v>
      </c>
      <c r="I481" s="1" t="str">
        <f t="shared" si="82"/>
        <v>Позитивний</v>
      </c>
      <c r="J481" s="1" t="str">
        <f t="shared" si="81"/>
        <v>Ні</v>
      </c>
    </row>
    <row r="482" spans="1:10" ht="45" x14ac:dyDescent="0.25">
      <c r="A482" s="1" t="str">
        <f>"462-2020/27"</f>
        <v>462-2020/27</v>
      </c>
      <c r="B482" s="1" t="str">
        <f t="shared" si="80"/>
        <v>23.01.2020</v>
      </c>
      <c r="C482" s="1" t="str">
        <f t="shared" si="76"/>
        <v>Закрито</v>
      </c>
      <c r="D482" s="1" t="str">
        <f>"Реєстрація місця проживання особи"</f>
        <v>Реєстрація місця проживання особи</v>
      </c>
      <c r="E482" s="1" t="str">
        <f>"Реєстрація місця проживання"</f>
        <v>Реєстрація місця проживання</v>
      </c>
      <c r="F482" s="1" t="str">
        <f>"Відділ реєстрації Новокаховської міської ради"</f>
        <v>Відділ реєстрації Новокаховської міської ради</v>
      </c>
      <c r="G482" s="1" t="str">
        <f>"1"</f>
        <v>1</v>
      </c>
      <c r="H482" s="1" t="str">
        <f>"Результат"</f>
        <v>Результат</v>
      </c>
      <c r="I482" s="1" t="str">
        <f t="shared" si="82"/>
        <v>Позитивний</v>
      </c>
      <c r="J482" s="1" t="str">
        <f>"Так"</f>
        <v>Так</v>
      </c>
    </row>
    <row r="483" spans="1:10" ht="105" x14ac:dyDescent="0.25">
      <c r="A483" s="1" t="str">
        <f>"475-2020/27"</f>
        <v>475-2020/27</v>
      </c>
      <c r="B483" s="1" t="str">
        <f t="shared" si="80"/>
        <v>23.01.2020</v>
      </c>
      <c r="C483" s="1" t="str">
        <f t="shared" si="76"/>
        <v>Закрито</v>
      </c>
      <c r="D4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83" s="1" t="str">
        <f>"Земельні питання"</f>
        <v>Земельні питання</v>
      </c>
      <c r="F48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483" s="1" t="str">
        <f>"1"</f>
        <v>1</v>
      </c>
      <c r="H483" s="1" t="str">
        <f>"Результат"</f>
        <v>Результат</v>
      </c>
      <c r="I483" s="1" t="str">
        <f t="shared" si="82"/>
        <v>Позитивний</v>
      </c>
      <c r="J483" s="1" t="str">
        <f>"Ні"</f>
        <v>Ні</v>
      </c>
    </row>
    <row r="484" spans="1:10" ht="135" x14ac:dyDescent="0.25">
      <c r="A484" s="1" t="str">
        <f>"487-2020/27"</f>
        <v>487-2020/27</v>
      </c>
      <c r="B484" s="1" t="str">
        <f t="shared" si="80"/>
        <v>23.01.2020</v>
      </c>
      <c r="C484" s="1" t="str">
        <f t="shared" si="76"/>
        <v>Закрито</v>
      </c>
      <c r="D48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84" s="1" t="str">
        <f>"Земельні питання"</f>
        <v>Земельні питання</v>
      </c>
      <c r="F4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84" s="1" t="str">
        <f>"3"</f>
        <v>3</v>
      </c>
      <c r="H484" s="1" t="str">
        <f>"Результат"</f>
        <v>Результат</v>
      </c>
      <c r="I484" s="1" t="str">
        <f t="shared" si="82"/>
        <v>Позитивний</v>
      </c>
      <c r="J484" s="1" t="str">
        <f>"Ні"</f>
        <v>Ні</v>
      </c>
    </row>
    <row r="485" spans="1:10" ht="45" x14ac:dyDescent="0.25">
      <c r="A485" s="1" t="str">
        <f>"458-2020/27"</f>
        <v>458-2020/27</v>
      </c>
      <c r="B485" s="1" t="str">
        <f t="shared" si="80"/>
        <v>23.01.2020</v>
      </c>
      <c r="C485" s="1" t="str">
        <f t="shared" si="76"/>
        <v>Закрито</v>
      </c>
      <c r="D485" s="1" t="str">
        <f>"Зняття з реєстрації місця проживання"</f>
        <v>Зняття з реєстрації місця проживання</v>
      </c>
      <c r="E485" s="1" t="str">
        <f>"Реєстрація місця проживання"</f>
        <v>Реєстрація місця проживання</v>
      </c>
      <c r="F485" s="1" t="str">
        <f>"Відділ реєстрації Новокаховської міської ради"</f>
        <v>Відділ реєстрації Новокаховської міської ради</v>
      </c>
      <c r="G485" s="1" t="str">
        <f>"1"</f>
        <v>1</v>
      </c>
      <c r="H485" s="1" t="str">
        <f>"Результат"</f>
        <v>Результат</v>
      </c>
      <c r="I485" s="1" t="str">
        <f t="shared" si="82"/>
        <v>Позитивний</v>
      </c>
      <c r="J485" s="1" t="str">
        <f>"Так"</f>
        <v>Так</v>
      </c>
    </row>
    <row r="486" spans="1:10" ht="45" x14ac:dyDescent="0.25">
      <c r="A486" s="1" t="str">
        <f>"460-2020/27"</f>
        <v>460-2020/27</v>
      </c>
      <c r="B486" s="1" t="str">
        <f t="shared" si="80"/>
        <v>23.01.2020</v>
      </c>
      <c r="C486" s="1" t="str">
        <f t="shared" si="76"/>
        <v>Закрито</v>
      </c>
      <c r="D486" s="1" t="str">
        <f>"Зняття з реєстрації місця проживання"</f>
        <v>Зняття з реєстрації місця проживання</v>
      </c>
      <c r="E486" s="1" t="str">
        <f>"Реєстрація місця проживання"</f>
        <v>Реєстрація місця проживання</v>
      </c>
      <c r="F486" s="1" t="str">
        <f>"Відділ реєстрації Новокаховської міської ради"</f>
        <v>Відділ реєстрації Новокаховської міської ради</v>
      </c>
      <c r="G486" s="1" t="str">
        <f>"1"</f>
        <v>1</v>
      </c>
      <c r="H486" s="1" t="str">
        <f>"Результат"</f>
        <v>Результат</v>
      </c>
      <c r="I486" s="1" t="str">
        <f t="shared" si="82"/>
        <v>Позитивний</v>
      </c>
      <c r="J486" s="1" t="str">
        <f>"Так"</f>
        <v>Так</v>
      </c>
    </row>
    <row r="487" spans="1:10" ht="105" x14ac:dyDescent="0.25">
      <c r="A487" s="1" t="str">
        <f>"482-2020/27"</f>
        <v>482-2020/27</v>
      </c>
      <c r="B487" s="1" t="str">
        <f t="shared" si="80"/>
        <v>23.01.2020</v>
      </c>
      <c r="C487" s="1" t="str">
        <f t="shared" si="76"/>
        <v>Закрито</v>
      </c>
      <c r="D4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87" s="1" t="str">
        <f t="shared" ref="E487:E492" si="83">"Земельні питання"</f>
        <v>Земельні питання</v>
      </c>
      <c r="F48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487" s="1" t="str">
        <f>"1"</f>
        <v>1</v>
      </c>
      <c r="H487" s="1" t="str">
        <f>"Результат"</f>
        <v>Результат</v>
      </c>
      <c r="I487" s="1" t="str">
        <f t="shared" si="82"/>
        <v>Позитивний</v>
      </c>
      <c r="J487" s="1" t="str">
        <f>"Так"</f>
        <v>Так</v>
      </c>
    </row>
    <row r="488" spans="1:10" ht="135" x14ac:dyDescent="0.25">
      <c r="A488" s="1" t="str">
        <f>"471-2020/27"</f>
        <v>471-2020/27</v>
      </c>
      <c r="B488" s="1" t="str">
        <f t="shared" si="80"/>
        <v>23.01.2020</v>
      </c>
      <c r="C488" s="1" t="str">
        <f t="shared" si="76"/>
        <v>Закрито</v>
      </c>
      <c r="D4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88" s="1" t="str">
        <f t="shared" si="83"/>
        <v>Земельні питання</v>
      </c>
      <c r="F4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88" s="1" t="str">
        <f>"3"</f>
        <v>3</v>
      </c>
      <c r="H488" s="1" t="str">
        <f>"Результат"</f>
        <v>Результат</v>
      </c>
      <c r="I488" s="1" t="str">
        <f>"Мотивована відмова"</f>
        <v>Мотивована відмова</v>
      </c>
      <c r="J488" s="1" t="str">
        <f>"Ні"</f>
        <v>Ні</v>
      </c>
    </row>
    <row r="489" spans="1:10" ht="135" x14ac:dyDescent="0.25">
      <c r="A489" s="1" t="str">
        <f>"485-2020/27"</f>
        <v>485-2020/27</v>
      </c>
      <c r="B489" s="1" t="str">
        <f t="shared" si="80"/>
        <v>23.01.2020</v>
      </c>
      <c r="C489" s="1" t="str">
        <f t="shared" si="76"/>
        <v>Закрито</v>
      </c>
      <c r="D48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89" s="1" t="str">
        <f t="shared" si="83"/>
        <v>Земельні питання</v>
      </c>
      <c r="F4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89" s="1" t="str">
        <f>"3"</f>
        <v>3</v>
      </c>
      <c r="H489" s="1" t="str">
        <f>"Результат"</f>
        <v>Результат</v>
      </c>
      <c r="I489" s="1" t="str">
        <f t="shared" ref="I489:I496" si="84">"Позитивний"</f>
        <v>Позитивний</v>
      </c>
      <c r="J489" s="1" t="str">
        <f>"Ні"</f>
        <v>Ні</v>
      </c>
    </row>
    <row r="490" spans="1:10" ht="105" x14ac:dyDescent="0.25">
      <c r="A490" s="1" t="str">
        <f>"477-2020/27"</f>
        <v>477-2020/27</v>
      </c>
      <c r="B490" s="1" t="str">
        <f t="shared" si="80"/>
        <v>23.01.2020</v>
      </c>
      <c r="C490" s="1" t="str">
        <f t="shared" si="76"/>
        <v>Закрито</v>
      </c>
      <c r="D4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90" s="1" t="str">
        <f t="shared" si="83"/>
        <v>Земельні питання</v>
      </c>
      <c r="F49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490" s="1" t="str">
        <f>"1"</f>
        <v>1</v>
      </c>
      <c r="H490" s="1" t="str">
        <f>"Результат"</f>
        <v>Результат</v>
      </c>
      <c r="I490" s="1" t="str">
        <f t="shared" si="84"/>
        <v>Позитивний</v>
      </c>
      <c r="J490" s="1" t="str">
        <f>"Так"</f>
        <v>Так</v>
      </c>
    </row>
    <row r="491" spans="1:10" ht="135" x14ac:dyDescent="0.25">
      <c r="A491" s="1" t="str">
        <f>"473-2020/27"</f>
        <v>473-2020/27</v>
      </c>
      <c r="B491" s="1" t="str">
        <f t="shared" si="80"/>
        <v>23.01.2020</v>
      </c>
      <c r="C491" s="1" t="str">
        <f t="shared" si="76"/>
        <v>Закрито</v>
      </c>
      <c r="D4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91" s="1" t="str">
        <f t="shared" si="83"/>
        <v>Земельні питання</v>
      </c>
      <c r="F4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1" s="1" t="str">
        <f>"1"</f>
        <v>1</v>
      </c>
      <c r="H491" s="1" t="str">
        <f>"Результат"</f>
        <v>Результат</v>
      </c>
      <c r="I491" s="1" t="str">
        <f t="shared" si="84"/>
        <v>Позитивний</v>
      </c>
      <c r="J491" s="1" t="str">
        <f>"Так"</f>
        <v>Так</v>
      </c>
    </row>
    <row r="492" spans="1:10" ht="135" x14ac:dyDescent="0.25">
      <c r="A492" s="1" t="str">
        <f>"474-2020/27"</f>
        <v>474-2020/27</v>
      </c>
      <c r="B492" s="1" t="str">
        <f t="shared" si="80"/>
        <v>23.01.2020</v>
      </c>
      <c r="C492" s="1" t="str">
        <f t="shared" si="76"/>
        <v>Закрито</v>
      </c>
      <c r="D4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92" s="1" t="str">
        <f t="shared" si="83"/>
        <v>Земельні питання</v>
      </c>
      <c r="F4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2" s="1" t="str">
        <f>"1"</f>
        <v>1</v>
      </c>
      <c r="H492" s="1" t="str">
        <f>"Результат"</f>
        <v>Результат</v>
      </c>
      <c r="I492" s="1" t="str">
        <f t="shared" si="84"/>
        <v>Позитивний</v>
      </c>
      <c r="J492" s="1" t="str">
        <f>"Так"</f>
        <v>Так</v>
      </c>
    </row>
    <row r="493" spans="1:10" ht="90" x14ac:dyDescent="0.25">
      <c r="A493" s="1" t="str">
        <f>"490-2020/27"</f>
        <v>490-2020/27</v>
      </c>
      <c r="B493" s="1" t="str">
        <f t="shared" si="80"/>
        <v>23.01.2020</v>
      </c>
      <c r="C493" s="1" t="str">
        <f t="shared" si="76"/>
        <v>Закрито</v>
      </c>
      <c r="D49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493" s="1" t="str">
        <f>"Інші послуги"</f>
        <v>Інші послуги</v>
      </c>
      <c r="F49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493" s="1" t="str">
        <f>"5"</f>
        <v>5</v>
      </c>
      <c r="H493" s="1" t="str">
        <f>"Результат"</f>
        <v>Результат</v>
      </c>
      <c r="I493" s="1" t="str">
        <f t="shared" si="84"/>
        <v>Позитивний</v>
      </c>
      <c r="J493" s="1" t="str">
        <f>"Ні"</f>
        <v>Ні</v>
      </c>
    </row>
    <row r="494" spans="1:10" ht="135" x14ac:dyDescent="0.25">
      <c r="A494" s="1" t="str">
        <f>"491-2020/27"</f>
        <v>491-2020/27</v>
      </c>
      <c r="B494" s="1" t="str">
        <f t="shared" si="80"/>
        <v>23.01.2020</v>
      </c>
      <c r="C494" s="1" t="str">
        <f t="shared" si="76"/>
        <v>Закрито</v>
      </c>
      <c r="D4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94" s="1" t="str">
        <f t="shared" ref="E494:E501" si="85">"Земельні питання"</f>
        <v>Земельні питання</v>
      </c>
      <c r="F494" s="1" t="str">
        <f t="shared" ref="F494:F501" si="86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4" s="1" t="str">
        <f>"3"</f>
        <v>3</v>
      </c>
      <c r="H494" s="1" t="str">
        <f>"Результат"</f>
        <v>Результат</v>
      </c>
      <c r="I494" s="1" t="str">
        <f t="shared" si="84"/>
        <v>Позитивний</v>
      </c>
      <c r="J494" s="1" t="str">
        <f>"Ні"</f>
        <v>Ні</v>
      </c>
    </row>
    <row r="495" spans="1:10" ht="135" x14ac:dyDescent="0.25">
      <c r="A495" s="1" t="str">
        <f>"468-2020/27"</f>
        <v>468-2020/27</v>
      </c>
      <c r="B495" s="1" t="str">
        <f t="shared" si="80"/>
        <v>23.01.2020</v>
      </c>
      <c r="C495" s="1" t="str">
        <f t="shared" si="76"/>
        <v>Закрито</v>
      </c>
      <c r="D49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95" s="1" t="str">
        <f t="shared" si="85"/>
        <v>Земельні питання</v>
      </c>
      <c r="F495" s="1" t="str">
        <f t="shared" si="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5" s="1" t="str">
        <f>"3"</f>
        <v>3</v>
      </c>
      <c r="H495" s="1" t="str">
        <f>"Результат"</f>
        <v>Результат</v>
      </c>
      <c r="I495" s="1" t="str">
        <f t="shared" si="84"/>
        <v>Позитивний</v>
      </c>
      <c r="J495" s="1" t="str">
        <f>"Ні"</f>
        <v>Ні</v>
      </c>
    </row>
    <row r="496" spans="1:10" ht="135" x14ac:dyDescent="0.25">
      <c r="A496" s="1" t="str">
        <f>"472-2020/27"</f>
        <v>472-2020/27</v>
      </c>
      <c r="B496" s="1" t="str">
        <f t="shared" si="80"/>
        <v>23.01.2020</v>
      </c>
      <c r="C496" s="1" t="str">
        <f t="shared" si="76"/>
        <v>Закрито</v>
      </c>
      <c r="D49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496" s="1" t="str">
        <f t="shared" si="85"/>
        <v>Земельні питання</v>
      </c>
      <c r="F496" s="1" t="str">
        <f t="shared" si="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6" s="1" t="str">
        <f>"1"</f>
        <v>1</v>
      </c>
      <c r="H496" s="1" t="str">
        <f>"Результат"</f>
        <v>Результат</v>
      </c>
      <c r="I496" s="1" t="str">
        <f t="shared" si="84"/>
        <v>Позитивний</v>
      </c>
      <c r="J496" s="1" t="str">
        <f>"Так"</f>
        <v>Так</v>
      </c>
    </row>
    <row r="497" spans="1:10" ht="135" x14ac:dyDescent="0.25">
      <c r="A497" s="1" t="str">
        <f>"483-2020/27"</f>
        <v>483-2020/27</v>
      </c>
      <c r="B497" s="1" t="str">
        <f t="shared" si="80"/>
        <v>23.01.2020</v>
      </c>
      <c r="C497" s="1" t="str">
        <f t="shared" si="76"/>
        <v>Закрито</v>
      </c>
      <c r="D4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97" s="1" t="str">
        <f t="shared" si="85"/>
        <v>Земельні питання</v>
      </c>
      <c r="F497" s="1" t="str">
        <f t="shared" si="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7" s="1" t="str">
        <f>"3"</f>
        <v>3</v>
      </c>
      <c r="H497" s="1" t="str">
        <f>"Результат"</f>
        <v>Результат</v>
      </c>
      <c r="I497" s="1" t="str">
        <f>"Мотивована відмова"</f>
        <v>Мотивована відмова</v>
      </c>
      <c r="J497" s="1" t="str">
        <f t="shared" ref="J497:J519" si="87">"Ні"</f>
        <v>Ні</v>
      </c>
    </row>
    <row r="498" spans="1:10" ht="135" x14ac:dyDescent="0.25">
      <c r="A498" s="1" t="str">
        <f>"520-2020/27"</f>
        <v>520-2020/27</v>
      </c>
      <c r="B498" s="1" t="str">
        <f t="shared" ref="B498:B546" si="88">"24.01.2020"</f>
        <v>24.01.2020</v>
      </c>
      <c r="C498" s="1" t="str">
        <f t="shared" si="76"/>
        <v>Закрито</v>
      </c>
      <c r="D4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98" s="1" t="str">
        <f t="shared" si="85"/>
        <v>Земельні питання</v>
      </c>
      <c r="F498" s="1" t="str">
        <f t="shared" si="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8" s="1" t="str">
        <f>"3"</f>
        <v>3</v>
      </c>
      <c r="H498" s="1" t="str">
        <f>"Результат"</f>
        <v>Результат</v>
      </c>
      <c r="I498" s="1" t="str">
        <f t="shared" ref="I498:I537" si="89">"Позитивний"</f>
        <v>Позитивний</v>
      </c>
      <c r="J498" s="1" t="str">
        <f t="shared" si="87"/>
        <v>Ні</v>
      </c>
    </row>
    <row r="499" spans="1:10" ht="135" x14ac:dyDescent="0.25">
      <c r="A499" s="1" t="str">
        <f>"539-2020/27"</f>
        <v>539-2020/27</v>
      </c>
      <c r="B499" s="1" t="str">
        <f t="shared" si="88"/>
        <v>24.01.2020</v>
      </c>
      <c r="C499" s="1" t="str">
        <f t="shared" si="76"/>
        <v>Закрито</v>
      </c>
      <c r="D49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499" s="1" t="str">
        <f t="shared" si="85"/>
        <v>Земельні питання</v>
      </c>
      <c r="F499" s="1" t="str">
        <f t="shared" si="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499" s="1" t="str">
        <f>"3"</f>
        <v>3</v>
      </c>
      <c r="H499" s="1" t="str">
        <f>"Результат"</f>
        <v>Результат</v>
      </c>
      <c r="I499" s="1" t="str">
        <f t="shared" si="89"/>
        <v>Позитивний</v>
      </c>
      <c r="J499" s="1" t="str">
        <f t="shared" si="87"/>
        <v>Ні</v>
      </c>
    </row>
    <row r="500" spans="1:10" ht="135" x14ac:dyDescent="0.25">
      <c r="A500" s="1" t="str">
        <f>"530-2020/27"</f>
        <v>530-2020/27</v>
      </c>
      <c r="B500" s="1" t="str">
        <f t="shared" si="88"/>
        <v>24.01.2020</v>
      </c>
      <c r="C500" s="1" t="str">
        <f t="shared" si="76"/>
        <v>Закрито</v>
      </c>
      <c r="D5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00" s="1" t="str">
        <f t="shared" si="85"/>
        <v>Земельні питання</v>
      </c>
      <c r="F500" s="1" t="str">
        <f t="shared" si="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0" s="1" t="str">
        <f>"3"</f>
        <v>3</v>
      </c>
      <c r="H500" s="1" t="str">
        <f>"Результат"</f>
        <v>Результат</v>
      </c>
      <c r="I500" s="1" t="str">
        <f t="shared" si="89"/>
        <v>Позитивний</v>
      </c>
      <c r="J500" s="1" t="str">
        <f t="shared" si="87"/>
        <v>Ні</v>
      </c>
    </row>
    <row r="501" spans="1:10" ht="135" x14ac:dyDescent="0.25">
      <c r="A501" s="1" t="str">
        <f>"497-2020/27"</f>
        <v>497-2020/27</v>
      </c>
      <c r="B501" s="1" t="str">
        <f t="shared" si="88"/>
        <v>24.01.2020</v>
      </c>
      <c r="C501" s="1" t="str">
        <f t="shared" si="76"/>
        <v>Закрито</v>
      </c>
      <c r="D501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501" s="1" t="str">
        <f t="shared" si="85"/>
        <v>Земельні питання</v>
      </c>
      <c r="F501" s="1" t="str">
        <f t="shared" si="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1" s="1" t="str">
        <f>"14"</f>
        <v>14</v>
      </c>
      <c r="H501" s="1" t="str">
        <f>"Результат"</f>
        <v>Результат</v>
      </c>
      <c r="I501" s="1" t="str">
        <f t="shared" si="89"/>
        <v>Позитивний</v>
      </c>
      <c r="J501" s="1" t="str">
        <f t="shared" si="87"/>
        <v>Ні</v>
      </c>
    </row>
    <row r="502" spans="1:10" ht="120" x14ac:dyDescent="0.25">
      <c r="A502" s="1" t="str">
        <f>"492-2020/27"</f>
        <v>492-2020/27</v>
      </c>
      <c r="B502" s="1" t="str">
        <f t="shared" si="88"/>
        <v>24.01.2020</v>
      </c>
      <c r="C502" s="1" t="str">
        <f t="shared" si="76"/>
        <v>Закрито</v>
      </c>
      <c r="D502" s="1" t="str">
        <f>"Реєстрація декларації відповідності матеріально-технічної бази суб’єкта господарювання вимогам законодавства з питань пожежної безпеки"</f>
        <v>Реєстрація декларації відповідності матеріально-технічної бази суб’єкта господарювання вимогам законодавства з питань пожежної безпеки</v>
      </c>
      <c r="E502" s="1" t="str">
        <f>"Пожежна безпека"</f>
        <v>Пожежна безпека</v>
      </c>
      <c r="F502" s="1" t="str">
        <f>"Новокаховський міський відділ Управління Державної служби України з надзвичайних ситуацій у Херсонській області"</f>
        <v>Новокаховський міський відділ Управління Державної служби України з надзвичайних ситуацій у Херсонській області</v>
      </c>
      <c r="G502" s="1" t="str">
        <f>"10"</f>
        <v>10</v>
      </c>
      <c r="H502" s="1" t="str">
        <f>"Результат"</f>
        <v>Результат</v>
      </c>
      <c r="I502" s="1" t="str">
        <f t="shared" si="89"/>
        <v>Позитивний</v>
      </c>
      <c r="J502" s="1" t="str">
        <f t="shared" si="87"/>
        <v>Ні</v>
      </c>
    </row>
    <row r="503" spans="1:10" ht="135" x14ac:dyDescent="0.25">
      <c r="A503" s="1" t="str">
        <f>"540-2020/27"</f>
        <v>540-2020/27</v>
      </c>
      <c r="B503" s="1" t="str">
        <f t="shared" si="88"/>
        <v>24.01.2020</v>
      </c>
      <c r="C503" s="1" t="str">
        <f t="shared" si="76"/>
        <v>Закрито</v>
      </c>
      <c r="D503" s="1" t="str">
        <f t="shared" ref="D503:D511" si="90"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03" s="1" t="str">
        <f t="shared" ref="E503:E516" si="91">"Земельні питання"</f>
        <v>Земельні питання</v>
      </c>
      <c r="F503" s="1" t="str">
        <f t="shared" ref="F503:F516" si="92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3" s="1" t="str">
        <f t="shared" ref="G503:G511" si="93">"3"</f>
        <v>3</v>
      </c>
      <c r="H503" s="1" t="str">
        <f>"Результат"</f>
        <v>Результат</v>
      </c>
      <c r="I503" s="1" t="str">
        <f t="shared" si="89"/>
        <v>Позитивний</v>
      </c>
      <c r="J503" s="1" t="str">
        <f t="shared" si="87"/>
        <v>Ні</v>
      </c>
    </row>
    <row r="504" spans="1:10" ht="135" x14ac:dyDescent="0.25">
      <c r="A504" s="1" t="str">
        <f>"510-2020/27"</f>
        <v>510-2020/27</v>
      </c>
      <c r="B504" s="1" t="str">
        <f t="shared" si="88"/>
        <v>24.01.2020</v>
      </c>
      <c r="C504" s="1" t="str">
        <f t="shared" si="76"/>
        <v>Закрито</v>
      </c>
      <c r="D504" s="1" t="str">
        <f t="shared" si="90"/>
        <v>Видача витягу з технічної документації про нормативну грошову оцінку земельної ділянки.</v>
      </c>
      <c r="E504" s="1" t="str">
        <f t="shared" si="91"/>
        <v>Земельні питання</v>
      </c>
      <c r="F504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4" s="1" t="str">
        <f t="shared" si="93"/>
        <v>3</v>
      </c>
      <c r="H504" s="1" t="str">
        <f>"Результат"</f>
        <v>Результат</v>
      </c>
      <c r="I504" s="1" t="str">
        <f t="shared" si="89"/>
        <v>Позитивний</v>
      </c>
      <c r="J504" s="1" t="str">
        <f t="shared" si="87"/>
        <v>Ні</v>
      </c>
    </row>
    <row r="505" spans="1:10" ht="135" x14ac:dyDescent="0.25">
      <c r="A505" s="1" t="str">
        <f>"505-2020/27"</f>
        <v>505-2020/27</v>
      </c>
      <c r="B505" s="1" t="str">
        <f t="shared" si="88"/>
        <v>24.01.2020</v>
      </c>
      <c r="C505" s="1" t="str">
        <f t="shared" si="76"/>
        <v>Закрито</v>
      </c>
      <c r="D505" s="1" t="str">
        <f t="shared" si="90"/>
        <v>Видача витягу з технічної документації про нормативну грошову оцінку земельної ділянки.</v>
      </c>
      <c r="E505" s="1" t="str">
        <f t="shared" si="91"/>
        <v>Земельні питання</v>
      </c>
      <c r="F505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5" s="1" t="str">
        <f t="shared" si="93"/>
        <v>3</v>
      </c>
      <c r="H505" s="1" t="str">
        <f>"Результат"</f>
        <v>Результат</v>
      </c>
      <c r="I505" s="1" t="str">
        <f t="shared" si="89"/>
        <v>Позитивний</v>
      </c>
      <c r="J505" s="1" t="str">
        <f t="shared" si="87"/>
        <v>Ні</v>
      </c>
    </row>
    <row r="506" spans="1:10" ht="135" x14ac:dyDescent="0.25">
      <c r="A506" s="1" t="str">
        <f>"512-2020/27"</f>
        <v>512-2020/27</v>
      </c>
      <c r="B506" s="1" t="str">
        <f t="shared" si="88"/>
        <v>24.01.2020</v>
      </c>
      <c r="C506" s="1" t="str">
        <f t="shared" si="76"/>
        <v>Закрито</v>
      </c>
      <c r="D506" s="1" t="str">
        <f t="shared" si="90"/>
        <v>Видача витягу з технічної документації про нормативну грошову оцінку земельної ділянки.</v>
      </c>
      <c r="E506" s="1" t="str">
        <f t="shared" si="91"/>
        <v>Земельні питання</v>
      </c>
      <c r="F506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6" s="1" t="str">
        <f t="shared" si="93"/>
        <v>3</v>
      </c>
      <c r="H506" s="1" t="str">
        <f>"Результат"</f>
        <v>Результат</v>
      </c>
      <c r="I506" s="1" t="str">
        <f t="shared" si="89"/>
        <v>Позитивний</v>
      </c>
      <c r="J506" s="1" t="str">
        <f t="shared" si="87"/>
        <v>Ні</v>
      </c>
    </row>
    <row r="507" spans="1:10" ht="135" x14ac:dyDescent="0.25">
      <c r="A507" s="1" t="str">
        <f>"514-2020/27"</f>
        <v>514-2020/27</v>
      </c>
      <c r="B507" s="1" t="str">
        <f t="shared" si="88"/>
        <v>24.01.2020</v>
      </c>
      <c r="C507" s="1" t="str">
        <f t="shared" si="76"/>
        <v>Закрито</v>
      </c>
      <c r="D507" s="1" t="str">
        <f t="shared" si="90"/>
        <v>Видача витягу з технічної документації про нормативну грошову оцінку земельної ділянки.</v>
      </c>
      <c r="E507" s="1" t="str">
        <f t="shared" si="91"/>
        <v>Земельні питання</v>
      </c>
      <c r="F507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7" s="1" t="str">
        <f t="shared" si="93"/>
        <v>3</v>
      </c>
      <c r="H507" s="1" t="str">
        <f>"Результат"</f>
        <v>Результат</v>
      </c>
      <c r="I507" s="1" t="str">
        <f t="shared" si="89"/>
        <v>Позитивний</v>
      </c>
      <c r="J507" s="1" t="str">
        <f t="shared" si="87"/>
        <v>Ні</v>
      </c>
    </row>
    <row r="508" spans="1:10" ht="135" x14ac:dyDescent="0.25">
      <c r="A508" s="1" t="str">
        <f>"509-2020/27"</f>
        <v>509-2020/27</v>
      </c>
      <c r="B508" s="1" t="str">
        <f t="shared" si="88"/>
        <v>24.01.2020</v>
      </c>
      <c r="C508" s="1" t="str">
        <f t="shared" si="76"/>
        <v>Закрито</v>
      </c>
      <c r="D508" s="1" t="str">
        <f t="shared" si="90"/>
        <v>Видача витягу з технічної документації про нормативну грошову оцінку земельної ділянки.</v>
      </c>
      <c r="E508" s="1" t="str">
        <f t="shared" si="91"/>
        <v>Земельні питання</v>
      </c>
      <c r="F508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8" s="1" t="str">
        <f t="shared" si="93"/>
        <v>3</v>
      </c>
      <c r="H508" s="1" t="str">
        <f>"Результат"</f>
        <v>Результат</v>
      </c>
      <c r="I508" s="1" t="str">
        <f t="shared" si="89"/>
        <v>Позитивний</v>
      </c>
      <c r="J508" s="1" t="str">
        <f t="shared" si="87"/>
        <v>Ні</v>
      </c>
    </row>
    <row r="509" spans="1:10" ht="135" x14ac:dyDescent="0.25">
      <c r="A509" s="1" t="str">
        <f>"498-2020/27"</f>
        <v>498-2020/27</v>
      </c>
      <c r="B509" s="1" t="str">
        <f t="shared" si="88"/>
        <v>24.01.2020</v>
      </c>
      <c r="C509" s="1" t="str">
        <f t="shared" si="76"/>
        <v>Закрито</v>
      </c>
      <c r="D509" s="1" t="str">
        <f t="shared" si="90"/>
        <v>Видача витягу з технічної документації про нормативну грошову оцінку земельної ділянки.</v>
      </c>
      <c r="E509" s="1" t="str">
        <f t="shared" si="91"/>
        <v>Земельні питання</v>
      </c>
      <c r="F509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09" s="1" t="str">
        <f t="shared" si="93"/>
        <v>3</v>
      </c>
      <c r="H509" s="1" t="str">
        <f>"Результат"</f>
        <v>Результат</v>
      </c>
      <c r="I509" s="1" t="str">
        <f t="shared" si="89"/>
        <v>Позитивний</v>
      </c>
      <c r="J509" s="1" t="str">
        <f t="shared" si="87"/>
        <v>Ні</v>
      </c>
    </row>
    <row r="510" spans="1:10" ht="135" x14ac:dyDescent="0.25">
      <c r="A510" s="1" t="str">
        <f>"511-2020/27"</f>
        <v>511-2020/27</v>
      </c>
      <c r="B510" s="1" t="str">
        <f t="shared" si="88"/>
        <v>24.01.2020</v>
      </c>
      <c r="C510" s="1" t="str">
        <f t="shared" si="76"/>
        <v>Закрито</v>
      </c>
      <c r="D510" s="1" t="str">
        <f t="shared" si="90"/>
        <v>Видача витягу з технічної документації про нормативну грошову оцінку земельної ділянки.</v>
      </c>
      <c r="E510" s="1" t="str">
        <f t="shared" si="91"/>
        <v>Земельні питання</v>
      </c>
      <c r="F510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0" s="1" t="str">
        <f t="shared" si="93"/>
        <v>3</v>
      </c>
      <c r="H510" s="1" t="str">
        <f>"Результат"</f>
        <v>Результат</v>
      </c>
      <c r="I510" s="1" t="str">
        <f t="shared" si="89"/>
        <v>Позитивний</v>
      </c>
      <c r="J510" s="1" t="str">
        <f t="shared" si="87"/>
        <v>Ні</v>
      </c>
    </row>
    <row r="511" spans="1:10" ht="135" x14ac:dyDescent="0.25">
      <c r="A511" s="1" t="str">
        <f>"531-2020/27"</f>
        <v>531-2020/27</v>
      </c>
      <c r="B511" s="1" t="str">
        <f t="shared" si="88"/>
        <v>24.01.2020</v>
      </c>
      <c r="C511" s="1" t="str">
        <f t="shared" si="76"/>
        <v>Закрито</v>
      </c>
      <c r="D511" s="1" t="str">
        <f t="shared" si="90"/>
        <v>Видача витягу з технічної документації про нормативну грошову оцінку земельної ділянки.</v>
      </c>
      <c r="E511" s="1" t="str">
        <f t="shared" si="91"/>
        <v>Земельні питання</v>
      </c>
      <c r="F511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1" s="1" t="str">
        <f t="shared" si="93"/>
        <v>3</v>
      </c>
      <c r="H511" s="1" t="str">
        <f>"Результат"</f>
        <v>Результат</v>
      </c>
      <c r="I511" s="1" t="str">
        <f t="shared" si="89"/>
        <v>Позитивний</v>
      </c>
      <c r="J511" s="1" t="str">
        <f t="shared" si="87"/>
        <v>Ні</v>
      </c>
    </row>
    <row r="512" spans="1:10" ht="135" x14ac:dyDescent="0.25">
      <c r="A512" s="1" t="str">
        <f>"525-2020/27"</f>
        <v>525-2020/27</v>
      </c>
      <c r="B512" s="1" t="str">
        <f t="shared" si="88"/>
        <v>24.01.2020</v>
      </c>
      <c r="C512" s="1" t="str">
        <f t="shared" si="76"/>
        <v>Закрито</v>
      </c>
      <c r="D51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512" s="1" t="str">
        <f t="shared" si="91"/>
        <v>Земельні питання</v>
      </c>
      <c r="F512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2" s="1" t="str">
        <f>"14"</f>
        <v>14</v>
      </c>
      <c r="H512" s="1" t="str">
        <f>"Результат"</f>
        <v>Результат</v>
      </c>
      <c r="I512" s="1" t="str">
        <f t="shared" si="89"/>
        <v>Позитивний</v>
      </c>
      <c r="J512" s="1" t="str">
        <f t="shared" si="87"/>
        <v>Ні</v>
      </c>
    </row>
    <row r="513" spans="1:10" ht="135" x14ac:dyDescent="0.25">
      <c r="A513" s="1" t="str">
        <f>"493-2020/27"</f>
        <v>493-2020/27</v>
      </c>
      <c r="B513" s="1" t="str">
        <f t="shared" si="88"/>
        <v>24.01.2020</v>
      </c>
      <c r="C513" s="1" t="str">
        <f t="shared" si="76"/>
        <v>Закрито</v>
      </c>
      <c r="D5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13" s="1" t="str">
        <f t="shared" si="91"/>
        <v>Земельні питання</v>
      </c>
      <c r="F513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3" s="1" t="str">
        <f>"3"</f>
        <v>3</v>
      </c>
      <c r="H513" s="1" t="str">
        <f>"Результат"</f>
        <v>Результат</v>
      </c>
      <c r="I513" s="1" t="str">
        <f t="shared" si="89"/>
        <v>Позитивний</v>
      </c>
      <c r="J513" s="1" t="str">
        <f t="shared" si="87"/>
        <v>Ні</v>
      </c>
    </row>
    <row r="514" spans="1:10" ht="135" x14ac:dyDescent="0.25">
      <c r="A514" s="1" t="str">
        <f>"532-2020/27"</f>
        <v>532-2020/27</v>
      </c>
      <c r="B514" s="1" t="str">
        <f t="shared" si="88"/>
        <v>24.01.2020</v>
      </c>
      <c r="C514" s="1" t="str">
        <f t="shared" si="76"/>
        <v>Закрито</v>
      </c>
      <c r="D51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14" s="1" t="str">
        <f t="shared" si="91"/>
        <v>Земельні питання</v>
      </c>
      <c r="F514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4" s="1" t="str">
        <f>"3"</f>
        <v>3</v>
      </c>
      <c r="H514" s="1" t="str">
        <f>"Результат"</f>
        <v>Результат</v>
      </c>
      <c r="I514" s="1" t="str">
        <f t="shared" si="89"/>
        <v>Позитивний</v>
      </c>
      <c r="J514" s="1" t="str">
        <f t="shared" si="87"/>
        <v>Ні</v>
      </c>
    </row>
    <row r="515" spans="1:10" ht="135" x14ac:dyDescent="0.25">
      <c r="A515" s="1" t="str">
        <f>"529-2020/27"</f>
        <v>529-2020/27</v>
      </c>
      <c r="B515" s="1" t="str">
        <f t="shared" si="88"/>
        <v>24.01.2020</v>
      </c>
      <c r="C515" s="1" t="str">
        <f t="shared" si="76"/>
        <v>Закрито</v>
      </c>
      <c r="D51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15" s="1" t="str">
        <f t="shared" si="91"/>
        <v>Земельні питання</v>
      </c>
      <c r="F515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5" s="1" t="str">
        <f>"3"</f>
        <v>3</v>
      </c>
      <c r="H515" s="1" t="str">
        <f>"Результат"</f>
        <v>Результат</v>
      </c>
      <c r="I515" s="1" t="str">
        <f t="shared" si="89"/>
        <v>Позитивний</v>
      </c>
      <c r="J515" s="1" t="str">
        <f t="shared" si="87"/>
        <v>Ні</v>
      </c>
    </row>
    <row r="516" spans="1:10" ht="135" x14ac:dyDescent="0.25">
      <c r="A516" s="1" t="str">
        <f>"515-2020/27"</f>
        <v>515-2020/27</v>
      </c>
      <c r="B516" s="1" t="str">
        <f t="shared" si="88"/>
        <v>24.01.2020</v>
      </c>
      <c r="C516" s="1" t="str">
        <f t="shared" si="76"/>
        <v>Закрито</v>
      </c>
      <c r="D5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16" s="1" t="str">
        <f t="shared" si="91"/>
        <v>Земельні питання</v>
      </c>
      <c r="F516" s="1" t="str">
        <f t="shared" si="9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6" s="1" t="str">
        <f>"3"</f>
        <v>3</v>
      </c>
      <c r="H516" s="1" t="str">
        <f>"Результат"</f>
        <v>Результат</v>
      </c>
      <c r="I516" s="1" t="str">
        <f t="shared" si="89"/>
        <v>Позитивний</v>
      </c>
      <c r="J516" s="1" t="str">
        <f t="shared" si="87"/>
        <v>Ні</v>
      </c>
    </row>
    <row r="517" spans="1:10" ht="90" x14ac:dyDescent="0.25">
      <c r="A517" s="1" t="str">
        <f>"502-2020/27"</f>
        <v>502-2020/27</v>
      </c>
      <c r="B517" s="1" t="str">
        <f t="shared" si="88"/>
        <v>24.01.2020</v>
      </c>
      <c r="C517" s="1" t="str">
        <f t="shared" ref="C517:C542" si="94">"Закрито"</f>
        <v>Закрито</v>
      </c>
      <c r="D51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517" s="1" t="str">
        <f>"Інші послуги"</f>
        <v>Інші послуги</v>
      </c>
      <c r="F51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517" s="1" t="str">
        <f>"5"</f>
        <v>5</v>
      </c>
      <c r="H517" s="1" t="str">
        <f>"Результат"</f>
        <v>Результат</v>
      </c>
      <c r="I517" s="1" t="str">
        <f t="shared" si="89"/>
        <v>Позитивний</v>
      </c>
      <c r="J517" s="1" t="str">
        <f t="shared" si="87"/>
        <v>Ні</v>
      </c>
    </row>
    <row r="518" spans="1:10" ht="135" x14ac:dyDescent="0.25">
      <c r="A518" s="1" t="str">
        <f>"536-2020/27"</f>
        <v>536-2020/27</v>
      </c>
      <c r="B518" s="1" t="str">
        <f t="shared" si="88"/>
        <v>24.01.2020</v>
      </c>
      <c r="C518" s="1" t="str">
        <f t="shared" si="94"/>
        <v>Закрито</v>
      </c>
      <c r="D51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18" s="1" t="str">
        <f>"Земельні питання"</f>
        <v>Земельні питання</v>
      </c>
      <c r="F5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8" s="1" t="str">
        <f>"3"</f>
        <v>3</v>
      </c>
      <c r="H518" s="1" t="str">
        <f>"Результат"</f>
        <v>Результат</v>
      </c>
      <c r="I518" s="1" t="str">
        <f t="shared" si="89"/>
        <v>Позитивний</v>
      </c>
      <c r="J518" s="1" t="str">
        <f t="shared" si="87"/>
        <v>Ні</v>
      </c>
    </row>
    <row r="519" spans="1:10" ht="135" x14ac:dyDescent="0.25">
      <c r="A519" s="1" t="str">
        <f>"501-2020/27"</f>
        <v>501-2020/27</v>
      </c>
      <c r="B519" s="1" t="str">
        <f t="shared" si="88"/>
        <v>24.01.2020</v>
      </c>
      <c r="C519" s="1" t="str">
        <f t="shared" si="94"/>
        <v>Закрито</v>
      </c>
      <c r="D51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19" s="1" t="str">
        <f>"Земельні питання"</f>
        <v>Земельні питання</v>
      </c>
      <c r="F5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19" s="1" t="str">
        <f>"3"</f>
        <v>3</v>
      </c>
      <c r="H519" s="1" t="str">
        <f>"Результат"</f>
        <v>Результат</v>
      </c>
      <c r="I519" s="1" t="str">
        <f t="shared" si="89"/>
        <v>Позитивний</v>
      </c>
      <c r="J519" s="1" t="str">
        <f t="shared" si="87"/>
        <v>Ні</v>
      </c>
    </row>
    <row r="520" spans="1:10" ht="45" x14ac:dyDescent="0.25">
      <c r="A520" s="1" t="str">
        <f>"534-2020/27"</f>
        <v>534-2020/27</v>
      </c>
      <c r="B520" s="1" t="str">
        <f t="shared" si="88"/>
        <v>24.01.2020</v>
      </c>
      <c r="C520" s="1" t="str">
        <f t="shared" si="94"/>
        <v>Закрито</v>
      </c>
      <c r="D520" s="1" t="str">
        <f>"Реєстрація місця проживання особи"</f>
        <v>Реєстрація місця проживання особи</v>
      </c>
      <c r="E520" s="1" t="str">
        <f>"Реєстрація місця проживання"</f>
        <v>Реєстрація місця проживання</v>
      </c>
      <c r="F520" s="1" t="str">
        <f>"Відділ реєстрації Новокаховської міської ради"</f>
        <v>Відділ реєстрації Новокаховської міської ради</v>
      </c>
      <c r="G520" s="1" t="str">
        <f>"1"</f>
        <v>1</v>
      </c>
      <c r="H520" s="1" t="str">
        <f>"Результат"</f>
        <v>Результат</v>
      </c>
      <c r="I520" s="1" t="str">
        <f t="shared" si="89"/>
        <v>Позитивний</v>
      </c>
      <c r="J520" s="1" t="str">
        <f>"Так"</f>
        <v>Так</v>
      </c>
    </row>
    <row r="521" spans="1:10" ht="135" x14ac:dyDescent="0.25">
      <c r="A521" s="1" t="str">
        <f>"495-2020/27"</f>
        <v>495-2020/27</v>
      </c>
      <c r="B521" s="1" t="str">
        <f t="shared" si="88"/>
        <v>24.01.2020</v>
      </c>
      <c r="C521" s="1" t="str">
        <f t="shared" si="94"/>
        <v>Закрито</v>
      </c>
      <c r="D52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21" s="1" t="str">
        <f t="shared" ref="E521:E527" si="95">"Земельні питання"</f>
        <v>Земельні питання</v>
      </c>
      <c r="F521" s="1" t="str">
        <f t="shared" ref="F521:F527" si="96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1" s="1" t="str">
        <f>"3"</f>
        <v>3</v>
      </c>
      <c r="H521" s="1" t="str">
        <f>"Результат"</f>
        <v>Результат</v>
      </c>
      <c r="I521" s="1" t="str">
        <f t="shared" si="89"/>
        <v>Позитивний</v>
      </c>
      <c r="J521" s="1" t="str">
        <f>"Ні"</f>
        <v>Ні</v>
      </c>
    </row>
    <row r="522" spans="1:10" ht="135" x14ac:dyDescent="0.25">
      <c r="A522" s="1" t="str">
        <f>"496-2020/27"</f>
        <v>496-2020/27</v>
      </c>
      <c r="B522" s="1" t="str">
        <f t="shared" si="88"/>
        <v>24.01.2020</v>
      </c>
      <c r="C522" s="1" t="str">
        <f t="shared" si="94"/>
        <v>Закрито</v>
      </c>
      <c r="D52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22" s="1" t="str">
        <f t="shared" si="95"/>
        <v>Земельні питання</v>
      </c>
      <c r="F522" s="1" t="str">
        <f t="shared" si="9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2" s="1" t="str">
        <f>"3"</f>
        <v>3</v>
      </c>
      <c r="H522" s="1" t="str">
        <f>"Результат"</f>
        <v>Результат</v>
      </c>
      <c r="I522" s="1" t="str">
        <f t="shared" si="89"/>
        <v>Позитивний</v>
      </c>
      <c r="J522" s="1" t="str">
        <f>"Ні"</f>
        <v>Ні</v>
      </c>
    </row>
    <row r="523" spans="1:10" ht="135" x14ac:dyDescent="0.25">
      <c r="A523" s="1" t="str">
        <f>"504-2020/27"</f>
        <v>504-2020/27</v>
      </c>
      <c r="B523" s="1" t="str">
        <f t="shared" si="88"/>
        <v>24.01.2020</v>
      </c>
      <c r="C523" s="1" t="str">
        <f t="shared" si="94"/>
        <v>Закрито</v>
      </c>
      <c r="D52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23" s="1" t="str">
        <f t="shared" si="95"/>
        <v>Земельні питання</v>
      </c>
      <c r="F523" s="1" t="str">
        <f t="shared" si="9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3" s="1" t="str">
        <f>"3"</f>
        <v>3</v>
      </c>
      <c r="H523" s="1" t="str">
        <f>"Результат"</f>
        <v>Результат</v>
      </c>
      <c r="I523" s="1" t="str">
        <f t="shared" si="89"/>
        <v>Позитивний</v>
      </c>
      <c r="J523" s="1" t="str">
        <f>"Ні"</f>
        <v>Ні</v>
      </c>
    </row>
    <row r="524" spans="1:10" ht="135" x14ac:dyDescent="0.25">
      <c r="A524" s="1" t="str">
        <f>"526-2020/27"</f>
        <v>526-2020/27</v>
      </c>
      <c r="B524" s="1" t="str">
        <f t="shared" si="88"/>
        <v>24.01.2020</v>
      </c>
      <c r="C524" s="1" t="str">
        <f t="shared" si="94"/>
        <v>Закрито</v>
      </c>
      <c r="D5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24" s="1" t="str">
        <f t="shared" si="95"/>
        <v>Земельні питання</v>
      </c>
      <c r="F524" s="1" t="str">
        <f t="shared" si="9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4" s="1" t="str">
        <f>"1"</f>
        <v>1</v>
      </c>
      <c r="H524" s="1" t="str">
        <f>"Результат"</f>
        <v>Результат</v>
      </c>
      <c r="I524" s="1" t="str">
        <f t="shared" si="89"/>
        <v>Позитивний</v>
      </c>
      <c r="J524" s="1" t="str">
        <f>"Так"</f>
        <v>Так</v>
      </c>
    </row>
    <row r="525" spans="1:10" ht="135" x14ac:dyDescent="0.25">
      <c r="A525" s="1" t="str">
        <f>"519-2020/27"</f>
        <v>519-2020/27</v>
      </c>
      <c r="B525" s="1" t="str">
        <f t="shared" si="88"/>
        <v>24.01.2020</v>
      </c>
      <c r="C525" s="1" t="str">
        <f t="shared" si="94"/>
        <v>Закрито</v>
      </c>
      <c r="D5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25" s="1" t="str">
        <f t="shared" si="95"/>
        <v>Земельні питання</v>
      </c>
      <c r="F525" s="1" t="str">
        <f t="shared" si="9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5" s="1" t="str">
        <f>"3"</f>
        <v>3</v>
      </c>
      <c r="H525" s="1" t="str">
        <f>"Результат"</f>
        <v>Результат</v>
      </c>
      <c r="I525" s="1" t="str">
        <f t="shared" si="89"/>
        <v>Позитивний</v>
      </c>
      <c r="J525" s="1" t="str">
        <f t="shared" ref="J525:J531" si="97">"Ні"</f>
        <v>Ні</v>
      </c>
    </row>
    <row r="526" spans="1:10" ht="135" x14ac:dyDescent="0.25">
      <c r="A526" s="1" t="str">
        <f>"518-2020/27"</f>
        <v>518-2020/27</v>
      </c>
      <c r="B526" s="1" t="str">
        <f t="shared" si="88"/>
        <v>24.01.2020</v>
      </c>
      <c r="C526" s="1" t="str">
        <f t="shared" si="94"/>
        <v>Закрито</v>
      </c>
      <c r="D52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26" s="1" t="str">
        <f t="shared" si="95"/>
        <v>Земельні питання</v>
      </c>
      <c r="F526" s="1" t="str">
        <f t="shared" si="9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6" s="1" t="str">
        <f>"3"</f>
        <v>3</v>
      </c>
      <c r="H526" s="1" t="str">
        <f>"Результат"</f>
        <v>Результат</v>
      </c>
      <c r="I526" s="1" t="str">
        <f t="shared" si="89"/>
        <v>Позитивний</v>
      </c>
      <c r="J526" s="1" t="str">
        <f t="shared" si="97"/>
        <v>Ні</v>
      </c>
    </row>
    <row r="527" spans="1:10" ht="135" x14ac:dyDescent="0.25">
      <c r="A527" s="1" t="str">
        <f>"516-2020/27"</f>
        <v>516-2020/27</v>
      </c>
      <c r="B527" s="1" t="str">
        <f t="shared" si="88"/>
        <v>24.01.2020</v>
      </c>
      <c r="C527" s="1" t="str">
        <f t="shared" si="94"/>
        <v>Закрито</v>
      </c>
      <c r="D52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27" s="1" t="str">
        <f t="shared" si="95"/>
        <v>Земельні питання</v>
      </c>
      <c r="F527" s="1" t="str">
        <f t="shared" si="9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7" s="1" t="str">
        <f>"3"</f>
        <v>3</v>
      </c>
      <c r="H527" s="1" t="str">
        <f>"Результат"</f>
        <v>Результат</v>
      </c>
      <c r="I527" s="1" t="str">
        <f t="shared" si="89"/>
        <v>Позитивний</v>
      </c>
      <c r="J527" s="1" t="str">
        <f t="shared" si="97"/>
        <v>Ні</v>
      </c>
    </row>
    <row r="528" spans="1:10" ht="75" x14ac:dyDescent="0.25">
      <c r="A528" s="1" t="str">
        <f>"508-2020/27"</f>
        <v>508-2020/27</v>
      </c>
      <c r="B528" s="1" t="str">
        <f t="shared" si="88"/>
        <v>24.01.2020</v>
      </c>
      <c r="C528" s="1" t="str">
        <f t="shared" si="94"/>
        <v>Закрито</v>
      </c>
      <c r="D528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528" s="1" t="str">
        <f>"Зовнішня реклама"</f>
        <v>Зовнішня реклама</v>
      </c>
      <c r="F528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528" s="1" t="str">
        <f>"30"</f>
        <v>30</v>
      </c>
      <c r="H528" s="1" t="str">
        <f>"Результат"</f>
        <v>Результат</v>
      </c>
      <c r="I528" s="1" t="str">
        <f t="shared" si="89"/>
        <v>Позитивний</v>
      </c>
      <c r="J528" s="1" t="str">
        <f t="shared" si="97"/>
        <v>Ні</v>
      </c>
    </row>
    <row r="529" spans="1:10" ht="135" x14ac:dyDescent="0.25">
      <c r="A529" s="1" t="str">
        <f>"533-2020/27"</f>
        <v>533-2020/27</v>
      </c>
      <c r="B529" s="1" t="str">
        <f t="shared" si="88"/>
        <v>24.01.2020</v>
      </c>
      <c r="C529" s="1" t="str">
        <f t="shared" si="94"/>
        <v>Закрито</v>
      </c>
      <c r="D52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29" s="1" t="str">
        <f>"Земельні питання"</f>
        <v>Земельні питання</v>
      </c>
      <c r="F5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29" s="1" t="str">
        <f>"3"</f>
        <v>3</v>
      </c>
      <c r="H529" s="1" t="str">
        <f>"Результат"</f>
        <v>Результат</v>
      </c>
      <c r="I529" s="1" t="str">
        <f t="shared" si="89"/>
        <v>Позитивний</v>
      </c>
      <c r="J529" s="1" t="str">
        <f t="shared" si="97"/>
        <v>Ні</v>
      </c>
    </row>
    <row r="530" spans="1:10" ht="135" x14ac:dyDescent="0.25">
      <c r="A530" s="1" t="str">
        <f>"513-2020/27"</f>
        <v>513-2020/27</v>
      </c>
      <c r="B530" s="1" t="str">
        <f t="shared" si="88"/>
        <v>24.01.2020</v>
      </c>
      <c r="C530" s="1" t="str">
        <f t="shared" si="94"/>
        <v>Закрито</v>
      </c>
      <c r="D53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30" s="1" t="str">
        <f>"Земельні питання"</f>
        <v>Земельні питання</v>
      </c>
      <c r="F5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0" s="1" t="str">
        <f>"3"</f>
        <v>3</v>
      </c>
      <c r="H530" s="1" t="str">
        <f>"Результат"</f>
        <v>Результат</v>
      </c>
      <c r="I530" s="1" t="str">
        <f t="shared" si="89"/>
        <v>Позитивний</v>
      </c>
      <c r="J530" s="1" t="str">
        <f t="shared" si="97"/>
        <v>Ні</v>
      </c>
    </row>
    <row r="531" spans="1:10" ht="135" x14ac:dyDescent="0.25">
      <c r="A531" s="1" t="str">
        <f>"527-2020/27"</f>
        <v>527-2020/27</v>
      </c>
      <c r="B531" s="1" t="str">
        <f t="shared" si="88"/>
        <v>24.01.2020</v>
      </c>
      <c r="C531" s="1" t="str">
        <f t="shared" si="94"/>
        <v>Закрито</v>
      </c>
      <c r="D53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31" s="1" t="str">
        <f>"Земельні питання"</f>
        <v>Земельні питання</v>
      </c>
      <c r="F5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1" s="1" t="str">
        <f>"3"</f>
        <v>3</v>
      </c>
      <c r="H531" s="1" t="str">
        <f>"Результат"</f>
        <v>Результат</v>
      </c>
      <c r="I531" s="1" t="str">
        <f t="shared" si="89"/>
        <v>Позитивний</v>
      </c>
      <c r="J531" s="1" t="str">
        <f t="shared" si="97"/>
        <v>Ні</v>
      </c>
    </row>
    <row r="532" spans="1:10" ht="45" x14ac:dyDescent="0.25">
      <c r="A532" s="1" t="str">
        <f>"507-2020/27"</f>
        <v>507-2020/27</v>
      </c>
      <c r="B532" s="1" t="str">
        <f t="shared" si="88"/>
        <v>24.01.2020</v>
      </c>
      <c r="C532" s="1" t="str">
        <f t="shared" si="94"/>
        <v>Закрито</v>
      </c>
      <c r="D532" s="1" t="str">
        <f>"Зняття з реєстрації місця проживання"</f>
        <v>Зняття з реєстрації місця проживання</v>
      </c>
      <c r="E532" s="1" t="str">
        <f>"Реєстрація місця проживання"</f>
        <v>Реєстрація місця проживання</v>
      </c>
      <c r="F532" s="1" t="str">
        <f>"Відділ реєстрації Новокаховської міської ради"</f>
        <v>Відділ реєстрації Новокаховської міської ради</v>
      </c>
      <c r="G532" s="1" t="str">
        <f>"1"</f>
        <v>1</v>
      </c>
      <c r="H532" s="1" t="str">
        <f>"Результат"</f>
        <v>Результат</v>
      </c>
      <c r="I532" s="1" t="str">
        <f t="shared" si="89"/>
        <v>Позитивний</v>
      </c>
      <c r="J532" s="1" t="str">
        <f>"Так"</f>
        <v>Так</v>
      </c>
    </row>
    <row r="533" spans="1:10" ht="135" x14ac:dyDescent="0.25">
      <c r="A533" s="1" t="str">
        <f>"537-2020/27"</f>
        <v>537-2020/27</v>
      </c>
      <c r="B533" s="1" t="str">
        <f t="shared" si="88"/>
        <v>24.01.2020</v>
      </c>
      <c r="C533" s="1" t="str">
        <f t="shared" si="94"/>
        <v>Закрито</v>
      </c>
      <c r="D53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33" s="1" t="str">
        <f>"Земельні питання"</f>
        <v>Земельні питання</v>
      </c>
      <c r="F5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3" s="1" t="str">
        <f>"3"</f>
        <v>3</v>
      </c>
      <c r="H533" s="1" t="str">
        <f>"Результат"</f>
        <v>Результат</v>
      </c>
      <c r="I533" s="1" t="str">
        <f t="shared" si="89"/>
        <v>Позитивний</v>
      </c>
      <c r="J533" s="1" t="str">
        <f>"Ні"</f>
        <v>Ні</v>
      </c>
    </row>
    <row r="534" spans="1:10" ht="135" x14ac:dyDescent="0.25">
      <c r="A534" s="1" t="str">
        <f>"523-2020/27"</f>
        <v>523-2020/27</v>
      </c>
      <c r="B534" s="1" t="str">
        <f t="shared" si="88"/>
        <v>24.01.2020</v>
      </c>
      <c r="C534" s="1" t="str">
        <f t="shared" si="94"/>
        <v>Закрито</v>
      </c>
      <c r="D53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34" s="1" t="str">
        <f>"Земельні питання"</f>
        <v>Земельні питання</v>
      </c>
      <c r="F5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4" s="1" t="str">
        <f>"3"</f>
        <v>3</v>
      </c>
      <c r="H534" s="1" t="str">
        <f>"Результат"</f>
        <v>Результат</v>
      </c>
      <c r="I534" s="1" t="str">
        <f t="shared" si="89"/>
        <v>Позитивний</v>
      </c>
      <c r="J534" s="1" t="str">
        <f>"Ні"</f>
        <v>Ні</v>
      </c>
    </row>
    <row r="535" spans="1:10" ht="135" x14ac:dyDescent="0.25">
      <c r="A535" s="1" t="str">
        <f>"500-2020/27"</f>
        <v>500-2020/27</v>
      </c>
      <c r="B535" s="1" t="str">
        <f t="shared" si="88"/>
        <v>24.01.2020</v>
      </c>
      <c r="C535" s="1" t="str">
        <f t="shared" si="94"/>
        <v>Закрито</v>
      </c>
      <c r="D53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35" s="1" t="str">
        <f>"Земельні питання"</f>
        <v>Земельні питання</v>
      </c>
      <c r="F5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5" s="1" t="str">
        <f>"3"</f>
        <v>3</v>
      </c>
      <c r="H535" s="1" t="str">
        <f>"Результат"</f>
        <v>Результат</v>
      </c>
      <c r="I535" s="1" t="str">
        <f t="shared" si="89"/>
        <v>Позитивний</v>
      </c>
      <c r="J535" s="1" t="str">
        <f>"Ні"</f>
        <v>Ні</v>
      </c>
    </row>
    <row r="536" spans="1:10" ht="135" x14ac:dyDescent="0.25">
      <c r="A536" s="1" t="str">
        <f>"517-2020/27"</f>
        <v>517-2020/27</v>
      </c>
      <c r="B536" s="1" t="str">
        <f t="shared" si="88"/>
        <v>24.01.2020</v>
      </c>
      <c r="C536" s="1" t="str">
        <f t="shared" si="94"/>
        <v>Закрито</v>
      </c>
      <c r="D53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36" s="1" t="str">
        <f>"Земельні питання"</f>
        <v>Земельні питання</v>
      </c>
      <c r="F5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6" s="1" t="str">
        <f>"3"</f>
        <v>3</v>
      </c>
      <c r="H536" s="1" t="str">
        <f>"Результат"</f>
        <v>Результат</v>
      </c>
      <c r="I536" s="1" t="str">
        <f t="shared" si="89"/>
        <v>Позитивний</v>
      </c>
      <c r="J536" s="1" t="str">
        <f>"Ні"</f>
        <v>Ні</v>
      </c>
    </row>
    <row r="537" spans="1:10" ht="135" x14ac:dyDescent="0.25">
      <c r="A537" s="1" t="str">
        <f>"524-2020/27"</f>
        <v>524-2020/27</v>
      </c>
      <c r="B537" s="1" t="str">
        <f t="shared" si="88"/>
        <v>24.01.2020</v>
      </c>
      <c r="C537" s="1" t="str">
        <f t="shared" si="94"/>
        <v>Закрито</v>
      </c>
      <c r="D5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37" s="1" t="str">
        <f>"Земельні питання"</f>
        <v>Земельні питання</v>
      </c>
      <c r="F5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7" s="1" t="str">
        <f>"1"</f>
        <v>1</v>
      </c>
      <c r="H537" s="1" t="str">
        <f>"Результат"</f>
        <v>Результат</v>
      </c>
      <c r="I537" s="1" t="str">
        <f t="shared" si="89"/>
        <v>Позитивний</v>
      </c>
      <c r="J537" s="1" t="str">
        <f>"Так"</f>
        <v>Так</v>
      </c>
    </row>
    <row r="538" spans="1:10" ht="45" x14ac:dyDescent="0.25">
      <c r="A538" s="1" t="str">
        <f>"506-2020/27"</f>
        <v>506-2020/27</v>
      </c>
      <c r="B538" s="1" t="str">
        <f t="shared" si="88"/>
        <v>24.01.2020</v>
      </c>
      <c r="C538" s="1" t="str">
        <f t="shared" si="94"/>
        <v>Закрито</v>
      </c>
      <c r="D538" s="1" t="str">
        <f>"Реєстрація місця проживання особи"</f>
        <v>Реєстрація місця проживання особи</v>
      </c>
      <c r="E538" s="1" t="str">
        <f>"Реєстрація місця проживання"</f>
        <v>Реєстрація місця проживання</v>
      </c>
      <c r="F538" s="1" t="str">
        <f>"Відділ реєстрації Новокаховської міської ради"</f>
        <v>Відділ реєстрації Новокаховської міської ради</v>
      </c>
      <c r="G538" s="1" t="str">
        <f>"1"</f>
        <v>1</v>
      </c>
      <c r="H538" s="1" t="str">
        <f>"Результат"</f>
        <v>Результат</v>
      </c>
      <c r="I538" s="1" t="str">
        <f>"Мотивована відмова"</f>
        <v>Мотивована відмова</v>
      </c>
      <c r="J538" s="1" t="str">
        <f>"Так"</f>
        <v>Так</v>
      </c>
    </row>
    <row r="539" spans="1:10" ht="135" x14ac:dyDescent="0.25">
      <c r="A539" s="1" t="str">
        <f>"528-2020/27"</f>
        <v>528-2020/27</v>
      </c>
      <c r="B539" s="1" t="str">
        <f t="shared" si="88"/>
        <v>24.01.2020</v>
      </c>
      <c r="C539" s="1" t="str">
        <f t="shared" si="94"/>
        <v>Закрито</v>
      </c>
      <c r="D53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39" s="1" t="str">
        <f>"Земельні питання"</f>
        <v>Земельні питання</v>
      </c>
      <c r="F53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39" s="1" t="str">
        <f>"3"</f>
        <v>3</v>
      </c>
      <c r="H539" s="1" t="str">
        <f>"Результат"</f>
        <v>Результат</v>
      </c>
      <c r="I539" s="1" t="str">
        <f t="shared" ref="I539:I549" si="98">"Позитивний"</f>
        <v>Позитивний</v>
      </c>
      <c r="J539" s="1" t="str">
        <f>"Ні"</f>
        <v>Ні</v>
      </c>
    </row>
    <row r="540" spans="1:10" ht="135" x14ac:dyDescent="0.25">
      <c r="A540" s="1" t="str">
        <f>"499-2020/27"</f>
        <v>499-2020/27</v>
      </c>
      <c r="B540" s="1" t="str">
        <f t="shared" si="88"/>
        <v>24.01.2020</v>
      </c>
      <c r="C540" s="1" t="str">
        <f t="shared" si="94"/>
        <v>Закрито</v>
      </c>
      <c r="D54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40" s="1" t="str">
        <f>"Земельні питання"</f>
        <v>Земельні питання</v>
      </c>
      <c r="F5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0" s="1" t="str">
        <f>"3"</f>
        <v>3</v>
      </c>
      <c r="H540" s="1" t="str">
        <f>"Результат"</f>
        <v>Результат</v>
      </c>
      <c r="I540" s="1" t="str">
        <f t="shared" si="98"/>
        <v>Позитивний</v>
      </c>
      <c r="J540" s="1" t="str">
        <f>"Ні"</f>
        <v>Ні</v>
      </c>
    </row>
    <row r="541" spans="1:10" ht="135" x14ac:dyDescent="0.25">
      <c r="A541" s="1" t="str">
        <f>"522-2020/27"</f>
        <v>522-2020/27</v>
      </c>
      <c r="B541" s="1" t="str">
        <f t="shared" si="88"/>
        <v>24.01.2020</v>
      </c>
      <c r="C541" s="1" t="str">
        <f t="shared" si="94"/>
        <v>Закрито</v>
      </c>
      <c r="D54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41" s="1" t="str">
        <f>"Земельні питання"</f>
        <v>Земельні питання</v>
      </c>
      <c r="F5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1" s="1" t="str">
        <f>"3"</f>
        <v>3</v>
      </c>
      <c r="H541" s="1" t="str">
        <f>"Результат"</f>
        <v>Результат</v>
      </c>
      <c r="I541" s="1" t="str">
        <f t="shared" si="98"/>
        <v>Позитивний</v>
      </c>
      <c r="J541" s="1" t="str">
        <f>"Ні"</f>
        <v>Ні</v>
      </c>
    </row>
    <row r="542" spans="1:10" ht="135" x14ac:dyDescent="0.25">
      <c r="A542" s="1" t="str">
        <f>"538-2020/27"</f>
        <v>538-2020/27</v>
      </c>
      <c r="B542" s="1" t="str">
        <f t="shared" si="88"/>
        <v>24.01.2020</v>
      </c>
      <c r="C542" s="1" t="str">
        <f t="shared" si="94"/>
        <v>Закрито</v>
      </c>
      <c r="D54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42" s="1" t="str">
        <f>"Земельні питання"</f>
        <v>Земельні питання</v>
      </c>
      <c r="F5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2" s="1" t="str">
        <f>"3"</f>
        <v>3</v>
      </c>
      <c r="H542" s="1" t="str">
        <f>"Результат"</f>
        <v>Результат</v>
      </c>
      <c r="I542" s="1" t="str">
        <f t="shared" si="98"/>
        <v>Позитивний</v>
      </c>
      <c r="J542" s="1" t="str">
        <f>"Ні"</f>
        <v>Ні</v>
      </c>
    </row>
    <row r="543" spans="1:10" ht="135" x14ac:dyDescent="0.25">
      <c r="A543" s="1" t="str">
        <f>"521-2020/27"</f>
        <v>521-2020/27</v>
      </c>
      <c r="B543" s="1" t="str">
        <f t="shared" si="88"/>
        <v>24.01.2020</v>
      </c>
      <c r="C543" s="1" t="str">
        <f>"Результат підготовлено адмін. органом"</f>
        <v>Результат підготовлено адмін. органом</v>
      </c>
      <c r="D54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43" s="1" t="str">
        <f>"Земельні питання"</f>
        <v>Земельні питання</v>
      </c>
      <c r="F5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3" s="1" t="str">
        <f>"3"</f>
        <v>3</v>
      </c>
      <c r="H543" s="1" t="str">
        <f>"Результат"</f>
        <v>Результат</v>
      </c>
      <c r="I543" s="1" t="str">
        <f t="shared" si="98"/>
        <v>Позитивний</v>
      </c>
      <c r="J543" s="1" t="str">
        <f>"Ні"</f>
        <v>Ні</v>
      </c>
    </row>
    <row r="544" spans="1:10" ht="45" x14ac:dyDescent="0.25">
      <c r="A544" s="1" t="str">
        <f>"535-2020/27"</f>
        <v>535-2020/27</v>
      </c>
      <c r="B544" s="1" t="str">
        <f t="shared" si="88"/>
        <v>24.01.2020</v>
      </c>
      <c r="C544" s="1" t="str">
        <f t="shared" ref="C544:C607" si="99">"Закрито"</f>
        <v>Закрито</v>
      </c>
      <c r="D544" s="1" t="str">
        <f>"Реєстрація місця проживання особи"</f>
        <v>Реєстрація місця проживання особи</v>
      </c>
      <c r="E544" s="1" t="str">
        <f>"Реєстрація місця проживання"</f>
        <v>Реєстрація місця проживання</v>
      </c>
      <c r="F544" s="1" t="str">
        <f>"Відділ реєстрації Новокаховської міської ради"</f>
        <v>Відділ реєстрації Новокаховської міської ради</v>
      </c>
      <c r="G544" s="1" t="str">
        <f>"1"</f>
        <v>1</v>
      </c>
      <c r="H544" s="1" t="str">
        <f>"Результат"</f>
        <v>Результат</v>
      </c>
      <c r="I544" s="1" t="str">
        <f t="shared" si="98"/>
        <v>Позитивний</v>
      </c>
      <c r="J544" s="1" t="str">
        <f>"Так"</f>
        <v>Так</v>
      </c>
    </row>
    <row r="545" spans="1:10" ht="135" x14ac:dyDescent="0.25">
      <c r="A545" s="1" t="str">
        <f>"494-2020/27"</f>
        <v>494-2020/27</v>
      </c>
      <c r="B545" s="1" t="str">
        <f t="shared" si="88"/>
        <v>24.01.2020</v>
      </c>
      <c r="C545" s="1" t="str">
        <f t="shared" si="99"/>
        <v>Закрито</v>
      </c>
      <c r="D5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45" s="1" t="str">
        <f>"Земельні питання"</f>
        <v>Земельні питання</v>
      </c>
      <c r="F5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5" s="1" t="str">
        <f>"3"</f>
        <v>3</v>
      </c>
      <c r="H545" s="1" t="str">
        <f>"Результат"</f>
        <v>Результат</v>
      </c>
      <c r="I545" s="1" t="str">
        <f t="shared" si="98"/>
        <v>Позитивний</v>
      </c>
      <c r="J545" s="1" t="str">
        <f>"Ні"</f>
        <v>Ні</v>
      </c>
    </row>
    <row r="546" spans="1:10" ht="45" x14ac:dyDescent="0.25">
      <c r="A546" s="1" t="str">
        <f>"503-2020/27"</f>
        <v>503-2020/27</v>
      </c>
      <c r="B546" s="1" t="str">
        <f t="shared" si="88"/>
        <v>24.01.2020</v>
      </c>
      <c r="C546" s="1" t="str">
        <f t="shared" si="99"/>
        <v>Закрито</v>
      </c>
      <c r="D546" s="1" t="str">
        <f>"Зняття з реєстрації місця проживання"</f>
        <v>Зняття з реєстрації місця проживання</v>
      </c>
      <c r="E546" s="1" t="str">
        <f>"Реєстрація місця проживання"</f>
        <v>Реєстрація місця проживання</v>
      </c>
      <c r="F546" s="1" t="str">
        <f>"Відділ реєстрації Новокаховської міської ради"</f>
        <v>Відділ реєстрації Новокаховської міської ради</v>
      </c>
      <c r="G546" s="1" t="str">
        <f>"1"</f>
        <v>1</v>
      </c>
      <c r="H546" s="1" t="str">
        <f>"Результат"</f>
        <v>Результат</v>
      </c>
      <c r="I546" s="1" t="str">
        <f t="shared" si="98"/>
        <v>Позитивний</v>
      </c>
      <c r="J546" s="1" t="str">
        <f>"Так"</f>
        <v>Так</v>
      </c>
    </row>
    <row r="547" spans="1:10" ht="135" x14ac:dyDescent="0.25">
      <c r="A547" s="1" t="str">
        <f>"563-2020/27"</f>
        <v>563-2020/27</v>
      </c>
      <c r="B547" s="1" t="str">
        <f t="shared" ref="B547:B579" si="100">"27.01.2020"</f>
        <v>27.01.2020</v>
      </c>
      <c r="C547" s="1" t="str">
        <f t="shared" si="99"/>
        <v>Закрито</v>
      </c>
      <c r="D54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47" s="1" t="str">
        <f>"Земельні питання"</f>
        <v>Земельні питання</v>
      </c>
      <c r="F5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7" s="1" t="str">
        <f>"3"</f>
        <v>3</v>
      </c>
      <c r="H547" s="1" t="str">
        <f>"Результат"</f>
        <v>Результат</v>
      </c>
      <c r="I547" s="1" t="str">
        <f t="shared" si="98"/>
        <v>Позитивний</v>
      </c>
      <c r="J547" s="1" t="str">
        <f>"Ні"</f>
        <v>Ні</v>
      </c>
    </row>
    <row r="548" spans="1:10" ht="135" x14ac:dyDescent="0.25">
      <c r="A548" s="1" t="str">
        <f>"574-2020/27"</f>
        <v>574-2020/27</v>
      </c>
      <c r="B548" s="1" t="str">
        <f t="shared" si="100"/>
        <v>27.01.2020</v>
      </c>
      <c r="C548" s="1" t="str">
        <f t="shared" si="99"/>
        <v>Закрито</v>
      </c>
      <c r="D54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48" s="1" t="str">
        <f>"Земельні питання"</f>
        <v>Земельні питання</v>
      </c>
      <c r="F5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8" s="1" t="str">
        <f>"1"</f>
        <v>1</v>
      </c>
      <c r="H548" s="1" t="str">
        <f>"Результат"</f>
        <v>Результат</v>
      </c>
      <c r="I548" s="1" t="str">
        <f t="shared" si="98"/>
        <v>Позитивний</v>
      </c>
      <c r="J548" s="1" t="str">
        <f>"Так"</f>
        <v>Так</v>
      </c>
    </row>
    <row r="549" spans="1:10" ht="135" x14ac:dyDescent="0.25">
      <c r="A549" s="1" t="str">
        <f>"564-2020/27"</f>
        <v>564-2020/27</v>
      </c>
      <c r="B549" s="1" t="str">
        <f t="shared" si="100"/>
        <v>27.01.2020</v>
      </c>
      <c r="C549" s="1" t="str">
        <f t="shared" si="99"/>
        <v>Закрито</v>
      </c>
      <c r="D54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49" s="1" t="str">
        <f>"Земельні питання"</f>
        <v>Земельні питання</v>
      </c>
      <c r="F5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49" s="1" t="str">
        <f>"3"</f>
        <v>3</v>
      </c>
      <c r="H549" s="1" t="str">
        <f>"Результат"</f>
        <v>Результат</v>
      </c>
      <c r="I549" s="1" t="str">
        <f t="shared" si="98"/>
        <v>Позитивний</v>
      </c>
      <c r="J549" s="1" t="str">
        <f>"Ні"</f>
        <v>Ні</v>
      </c>
    </row>
    <row r="550" spans="1:10" ht="90" x14ac:dyDescent="0.25">
      <c r="A550" s="1" t="str">
        <f>"549-2020/27"</f>
        <v>549-2020/27</v>
      </c>
      <c r="B550" s="1" t="str">
        <f t="shared" si="100"/>
        <v>27.01.2020</v>
      </c>
      <c r="C550" s="1" t="str">
        <f t="shared" si="99"/>
        <v>Закрито</v>
      </c>
      <c r="D55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550" s="1" t="str">
        <f>"Інші послуги"</f>
        <v>Інші послуги</v>
      </c>
      <c r="F55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550" s="1" t="str">
        <f>"5"</f>
        <v>5</v>
      </c>
      <c r="H550" s="1" t="str">
        <f>"Результат"</f>
        <v>Результат</v>
      </c>
      <c r="I550" s="1" t="str">
        <f>"Мотивована відмова"</f>
        <v>Мотивована відмова</v>
      </c>
      <c r="J550" s="1" t="str">
        <f>"Ні"</f>
        <v>Ні</v>
      </c>
    </row>
    <row r="551" spans="1:10" ht="135" x14ac:dyDescent="0.25">
      <c r="A551" s="1" t="str">
        <f>"567-2020/27"</f>
        <v>567-2020/27</v>
      </c>
      <c r="B551" s="1" t="str">
        <f t="shared" si="100"/>
        <v>27.01.2020</v>
      </c>
      <c r="C551" s="1" t="str">
        <f t="shared" si="99"/>
        <v>Закрито</v>
      </c>
      <c r="D55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51" s="1" t="str">
        <f>"Земельні питання"</f>
        <v>Земельні питання</v>
      </c>
      <c r="F5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51" s="1" t="str">
        <f>"3"</f>
        <v>3</v>
      </c>
      <c r="H551" s="1" t="str">
        <f>"Результат"</f>
        <v>Результат</v>
      </c>
      <c r="I551" s="1" t="str">
        <f>"Позитивний"</f>
        <v>Позитивний</v>
      </c>
      <c r="J551" s="1" t="str">
        <f>"Ні"</f>
        <v>Ні</v>
      </c>
    </row>
    <row r="552" spans="1:10" ht="135" x14ac:dyDescent="0.25">
      <c r="A552" s="1" t="str">
        <f>"541-2020/27"</f>
        <v>541-2020/27</v>
      </c>
      <c r="B552" s="1" t="str">
        <f t="shared" si="100"/>
        <v>27.01.2020</v>
      </c>
      <c r="C552" s="1" t="str">
        <f t="shared" si="99"/>
        <v>Закрито</v>
      </c>
      <c r="D55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52" s="1" t="str">
        <f>"Земельні питання"</f>
        <v>Земельні питання</v>
      </c>
      <c r="F5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52" s="1" t="str">
        <f>"3"</f>
        <v>3</v>
      </c>
      <c r="H552" s="1" t="str">
        <f>"Результат"</f>
        <v>Результат</v>
      </c>
      <c r="I552" s="1" t="str">
        <f>"Позитивний"</f>
        <v>Позитивний</v>
      </c>
      <c r="J552" s="1" t="str">
        <f>"Ні"</f>
        <v>Ні</v>
      </c>
    </row>
    <row r="553" spans="1:10" ht="135" x14ac:dyDescent="0.25">
      <c r="A553" s="1" t="str">
        <f>"565-2020/27"</f>
        <v>565-2020/27</v>
      </c>
      <c r="B553" s="1" t="str">
        <f t="shared" si="100"/>
        <v>27.01.2020</v>
      </c>
      <c r="C553" s="1" t="str">
        <f t="shared" si="99"/>
        <v>Закрито</v>
      </c>
      <c r="D55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53" s="1" t="str">
        <f>"Земельні питання"</f>
        <v>Земельні питання</v>
      </c>
      <c r="F5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53" s="1" t="str">
        <f>"3"</f>
        <v>3</v>
      </c>
      <c r="H553" s="1" t="str">
        <f>"Результат"</f>
        <v>Результат</v>
      </c>
      <c r="I553" s="1" t="str">
        <f>"Позитивний"</f>
        <v>Позитивний</v>
      </c>
      <c r="J553" s="1" t="str">
        <f>"Ні"</f>
        <v>Ні</v>
      </c>
    </row>
    <row r="554" spans="1:10" ht="45" x14ac:dyDescent="0.25">
      <c r="A554" s="1" t="str">
        <f>"550-2020/27"</f>
        <v>550-2020/27</v>
      </c>
      <c r="B554" s="1" t="str">
        <f t="shared" si="100"/>
        <v>27.01.2020</v>
      </c>
      <c r="C554" s="1" t="str">
        <f t="shared" si="99"/>
        <v>Закрито</v>
      </c>
      <c r="D554" s="1" t="str">
        <f>"Реєстрація місця проживання особи"</f>
        <v>Реєстрація місця проживання особи</v>
      </c>
      <c r="E554" s="1" t="str">
        <f>"Реєстрація місця проживання"</f>
        <v>Реєстрація місця проживання</v>
      </c>
      <c r="F554" s="1" t="str">
        <f>"Відділ реєстрації Новокаховської міської ради"</f>
        <v>Відділ реєстрації Новокаховської міської ради</v>
      </c>
      <c r="G554" s="1" t="str">
        <f>"1"</f>
        <v>1</v>
      </c>
      <c r="H554" s="1" t="str">
        <f>"Результат"</f>
        <v>Результат</v>
      </c>
      <c r="I554" s="1" t="str">
        <f>"Позитивний"</f>
        <v>Позитивний</v>
      </c>
      <c r="J554" s="1" t="str">
        <f>"Так"</f>
        <v>Так</v>
      </c>
    </row>
    <row r="555" spans="1:10" ht="135" x14ac:dyDescent="0.25">
      <c r="A555" s="1" t="str">
        <f>"566-2020/27"</f>
        <v>566-2020/27</v>
      </c>
      <c r="B555" s="1" t="str">
        <f t="shared" si="100"/>
        <v>27.01.2020</v>
      </c>
      <c r="C555" s="1" t="str">
        <f t="shared" si="99"/>
        <v>Закрито</v>
      </c>
      <c r="D55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55" s="1" t="str">
        <f>"Земельні питання"</f>
        <v>Земельні питання</v>
      </c>
      <c r="F5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55" s="1" t="str">
        <f>"1"</f>
        <v>1</v>
      </c>
      <c r="H555" s="1" t="str">
        <f>"Результат"</f>
        <v>Результат</v>
      </c>
      <c r="I555" s="1" t="str">
        <f>"Мотивована відмова"</f>
        <v>Мотивована відмова</v>
      </c>
      <c r="J555" s="1" t="str">
        <f>"Так"</f>
        <v>Так</v>
      </c>
    </row>
    <row r="556" spans="1:10" ht="135" x14ac:dyDescent="0.25">
      <c r="A556" s="1" t="str">
        <f>"543-2020/27"</f>
        <v>543-2020/27</v>
      </c>
      <c r="B556" s="1" t="str">
        <f t="shared" si="100"/>
        <v>27.01.2020</v>
      </c>
      <c r="C556" s="1" t="str">
        <f t="shared" si="99"/>
        <v>Закрито</v>
      </c>
      <c r="D5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56" s="1" t="str">
        <f>"Земельні питання"</f>
        <v>Земельні питання</v>
      </c>
      <c r="F5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56" s="1" t="str">
        <f>"3"</f>
        <v>3</v>
      </c>
      <c r="H556" s="1" t="str">
        <f>"Результат"</f>
        <v>Результат</v>
      </c>
      <c r="I556" s="1" t="str">
        <f>"Позитивний"</f>
        <v>Позитивний</v>
      </c>
      <c r="J556" s="1" t="str">
        <f>"Ні"</f>
        <v>Ні</v>
      </c>
    </row>
    <row r="557" spans="1:10" ht="135" x14ac:dyDescent="0.25">
      <c r="A557" s="1" t="str">
        <f>"568-2020/27"</f>
        <v>568-2020/27</v>
      </c>
      <c r="B557" s="1" t="str">
        <f t="shared" si="100"/>
        <v>27.01.2020</v>
      </c>
      <c r="C557" s="1" t="str">
        <f t="shared" si="99"/>
        <v>Закрито</v>
      </c>
      <c r="D5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57" s="1" t="str">
        <f>"Земельні питання"</f>
        <v>Земельні питання</v>
      </c>
      <c r="F5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57" s="1" t="str">
        <f>"3"</f>
        <v>3</v>
      </c>
      <c r="H557" s="1" t="str">
        <f>"Результат"</f>
        <v>Результат</v>
      </c>
      <c r="I557" s="1" t="str">
        <f>"Позитивний"</f>
        <v>Позитивний</v>
      </c>
      <c r="J557" s="1" t="str">
        <f>"Ні"</f>
        <v>Ні</v>
      </c>
    </row>
    <row r="558" spans="1:10" ht="45" x14ac:dyDescent="0.25">
      <c r="A558" s="1" t="str">
        <f>"555-2020/27"</f>
        <v>555-2020/27</v>
      </c>
      <c r="B558" s="1" t="str">
        <f t="shared" si="100"/>
        <v>27.01.2020</v>
      </c>
      <c r="C558" s="1" t="str">
        <f t="shared" si="99"/>
        <v>Закрито</v>
      </c>
      <c r="D558" s="1" t="str">
        <f>"Реєстрація місця проживання особи"</f>
        <v>Реєстрація місця проживання особи</v>
      </c>
      <c r="E558" s="1" t="str">
        <f>"Реєстрація місця проживання"</f>
        <v>Реєстрація місця проживання</v>
      </c>
      <c r="F558" s="1" t="str">
        <f>"Відділ реєстрації Новокаховської міської ради"</f>
        <v>Відділ реєстрації Новокаховської міської ради</v>
      </c>
      <c r="G558" s="1" t="str">
        <f>"1"</f>
        <v>1</v>
      </c>
      <c r="H558" s="1" t="str">
        <f>"Результат"</f>
        <v>Результат</v>
      </c>
      <c r="I558" s="1" t="str">
        <f>"Позитивний"</f>
        <v>Позитивний</v>
      </c>
      <c r="J558" s="1" t="str">
        <f>"Так"</f>
        <v>Так</v>
      </c>
    </row>
    <row r="559" spans="1:10" ht="135" x14ac:dyDescent="0.25">
      <c r="A559" s="1" t="str">
        <f>"558-2020/27"</f>
        <v>558-2020/27</v>
      </c>
      <c r="B559" s="1" t="str">
        <f t="shared" si="100"/>
        <v>27.01.2020</v>
      </c>
      <c r="C559" s="1" t="str">
        <f t="shared" si="99"/>
        <v>Закрито</v>
      </c>
      <c r="D55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59" s="1" t="str">
        <f>"Земельні питання"</f>
        <v>Земельні питання</v>
      </c>
      <c r="F5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59" s="1" t="str">
        <f>"3"</f>
        <v>3</v>
      </c>
      <c r="H559" s="1" t="str">
        <f>"Результат"</f>
        <v>Результат</v>
      </c>
      <c r="I559" s="1" t="str">
        <f>"Мотивована відмова"</f>
        <v>Мотивована відмова</v>
      </c>
      <c r="J559" s="1" t="str">
        <f>"Ні"</f>
        <v>Ні</v>
      </c>
    </row>
    <row r="560" spans="1:10" ht="135" x14ac:dyDescent="0.25">
      <c r="A560" s="1" t="str">
        <f>"571-2020/27"</f>
        <v>571-2020/27</v>
      </c>
      <c r="B560" s="1" t="str">
        <f t="shared" si="100"/>
        <v>27.01.2020</v>
      </c>
      <c r="C560" s="1" t="str">
        <f t="shared" si="99"/>
        <v>Закрито</v>
      </c>
      <c r="D5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60" s="1" t="str">
        <f>"Земельні питання"</f>
        <v>Земельні питання</v>
      </c>
      <c r="F5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60" s="1" t="str">
        <f>"1"</f>
        <v>1</v>
      </c>
      <c r="H560" s="1" t="str">
        <f>"Результат"</f>
        <v>Результат</v>
      </c>
      <c r="I560" s="1" t="str">
        <f t="shared" ref="I560:I569" si="101">"Позитивний"</f>
        <v>Позитивний</v>
      </c>
      <c r="J560" s="1" t="str">
        <f>"Так"</f>
        <v>Так</v>
      </c>
    </row>
    <row r="561" spans="1:10" ht="45" x14ac:dyDescent="0.25">
      <c r="A561" s="1" t="str">
        <f>"546-2020/27"</f>
        <v>546-2020/27</v>
      </c>
      <c r="B561" s="1" t="str">
        <f t="shared" si="100"/>
        <v>27.01.2020</v>
      </c>
      <c r="C561" s="1" t="str">
        <f t="shared" si="99"/>
        <v>Закрито</v>
      </c>
      <c r="D561" s="1" t="str">
        <f>"Реєстрація місця проживання особи"</f>
        <v>Реєстрація місця проживання особи</v>
      </c>
      <c r="E561" s="1" t="str">
        <f>"Реєстрація місця проживання"</f>
        <v>Реєстрація місця проживання</v>
      </c>
      <c r="F561" s="1" t="str">
        <f>"Відділ реєстрації Новокаховської міської ради"</f>
        <v>Відділ реєстрації Новокаховської міської ради</v>
      </c>
      <c r="G561" s="1" t="str">
        <f>"1"</f>
        <v>1</v>
      </c>
      <c r="H561" s="1" t="str">
        <f>"Результат"</f>
        <v>Результат</v>
      </c>
      <c r="I561" s="1" t="str">
        <f t="shared" si="101"/>
        <v>Позитивний</v>
      </c>
      <c r="J561" s="1" t="str">
        <f>"Так"</f>
        <v>Так</v>
      </c>
    </row>
    <row r="562" spans="1:10" ht="45" x14ac:dyDescent="0.25">
      <c r="A562" s="1" t="str">
        <f>"560-2020/27"</f>
        <v>560-2020/27</v>
      </c>
      <c r="B562" s="1" t="str">
        <f t="shared" si="100"/>
        <v>27.01.2020</v>
      </c>
      <c r="C562" s="1" t="str">
        <f t="shared" si="99"/>
        <v>Закрито</v>
      </c>
      <c r="D562" s="1" t="str">
        <f>"Зняття з реєстрації місця проживання"</f>
        <v>Зняття з реєстрації місця проживання</v>
      </c>
      <c r="E562" s="1" t="str">
        <f>"Реєстрація місця проживання"</f>
        <v>Реєстрація місця проживання</v>
      </c>
      <c r="F562" s="1" t="str">
        <f>"Відділ реєстрації Новокаховської міської ради"</f>
        <v>Відділ реєстрації Новокаховської міської ради</v>
      </c>
      <c r="G562" s="1" t="str">
        <f>"1"</f>
        <v>1</v>
      </c>
      <c r="H562" s="1" t="str">
        <f>"Результат"</f>
        <v>Результат</v>
      </c>
      <c r="I562" s="1" t="str">
        <f t="shared" si="101"/>
        <v>Позитивний</v>
      </c>
      <c r="J562" s="1" t="str">
        <f>"Так"</f>
        <v>Так</v>
      </c>
    </row>
    <row r="563" spans="1:10" ht="135" x14ac:dyDescent="0.25">
      <c r="A563" s="1" t="str">
        <f>"562-2020/27"</f>
        <v>562-2020/27</v>
      </c>
      <c r="B563" s="1" t="str">
        <f t="shared" si="100"/>
        <v>27.01.2020</v>
      </c>
      <c r="C563" s="1" t="str">
        <f t="shared" si="99"/>
        <v>Закрито</v>
      </c>
      <c r="D56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63" s="1" t="str">
        <f>"Земельні питання"</f>
        <v>Земельні питання</v>
      </c>
      <c r="F5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63" s="1" t="str">
        <f>"3"</f>
        <v>3</v>
      </c>
      <c r="H563" s="1" t="str">
        <f>"Результат"</f>
        <v>Результат</v>
      </c>
      <c r="I563" s="1" t="str">
        <f t="shared" si="101"/>
        <v>Позитивний</v>
      </c>
      <c r="J563" s="1" t="str">
        <f>"Ні"</f>
        <v>Ні</v>
      </c>
    </row>
    <row r="564" spans="1:10" ht="135" x14ac:dyDescent="0.25">
      <c r="A564" s="1" t="str">
        <f>"542-2020/27"</f>
        <v>542-2020/27</v>
      </c>
      <c r="B564" s="1" t="str">
        <f t="shared" si="100"/>
        <v>27.01.2020</v>
      </c>
      <c r="C564" s="1" t="str">
        <f t="shared" si="99"/>
        <v>Закрито</v>
      </c>
      <c r="D5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64" s="1" t="str">
        <f>"Земельні питання"</f>
        <v>Земельні питання</v>
      </c>
      <c r="F5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64" s="1" t="str">
        <f>"3"</f>
        <v>3</v>
      </c>
      <c r="H564" s="1" t="str">
        <f>"Результат"</f>
        <v>Результат</v>
      </c>
      <c r="I564" s="1" t="str">
        <f t="shared" si="101"/>
        <v>Позитивний</v>
      </c>
      <c r="J564" s="1" t="str">
        <f>"Ні"</f>
        <v>Ні</v>
      </c>
    </row>
    <row r="565" spans="1:10" ht="135" x14ac:dyDescent="0.25">
      <c r="A565" s="1" t="str">
        <f>"557-2020/27"</f>
        <v>557-2020/27</v>
      </c>
      <c r="B565" s="1" t="str">
        <f t="shared" si="100"/>
        <v>27.01.2020</v>
      </c>
      <c r="C565" s="1" t="str">
        <f t="shared" si="99"/>
        <v>Закрито</v>
      </c>
      <c r="D56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65" s="1" t="str">
        <f>"Земельні питання"</f>
        <v>Земельні питання</v>
      </c>
      <c r="F5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65" s="1" t="str">
        <f>"3"</f>
        <v>3</v>
      </c>
      <c r="H565" s="1" t="str">
        <f>"Результат"</f>
        <v>Результат</v>
      </c>
      <c r="I565" s="1" t="str">
        <f t="shared" si="101"/>
        <v>Позитивний</v>
      </c>
      <c r="J565" s="1" t="str">
        <f>"Ні"</f>
        <v>Ні</v>
      </c>
    </row>
    <row r="566" spans="1:10" ht="135" x14ac:dyDescent="0.25">
      <c r="A566" s="1" t="str">
        <f>"559-2020/27"</f>
        <v>559-2020/27</v>
      </c>
      <c r="B566" s="1" t="str">
        <f t="shared" si="100"/>
        <v>27.01.2020</v>
      </c>
      <c r="C566" s="1" t="str">
        <f t="shared" si="99"/>
        <v>Закрито</v>
      </c>
      <c r="D5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66" s="1" t="str">
        <f>"Земельні питання"</f>
        <v>Земельні питання</v>
      </c>
      <c r="F5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66" s="1" t="str">
        <f>"3"</f>
        <v>3</v>
      </c>
      <c r="H566" s="1" t="str">
        <f>"Результат"</f>
        <v>Результат</v>
      </c>
      <c r="I566" s="1" t="str">
        <f t="shared" si="101"/>
        <v>Позитивний</v>
      </c>
      <c r="J566" s="1" t="str">
        <f>"Ні"</f>
        <v>Ні</v>
      </c>
    </row>
    <row r="567" spans="1:10" ht="135" x14ac:dyDescent="0.25">
      <c r="A567" s="1" t="str">
        <f>"573-2020/27"</f>
        <v>573-2020/27</v>
      </c>
      <c r="B567" s="1" t="str">
        <f t="shared" si="100"/>
        <v>27.01.2020</v>
      </c>
      <c r="C567" s="1" t="str">
        <f t="shared" si="99"/>
        <v>Закрито</v>
      </c>
      <c r="D56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67" s="1" t="str">
        <f>"Земельні питання"</f>
        <v>Земельні питання</v>
      </c>
      <c r="F5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67" s="1" t="str">
        <f>"3"</f>
        <v>3</v>
      </c>
      <c r="H567" s="1" t="str">
        <f>"Результат"</f>
        <v>Результат</v>
      </c>
      <c r="I567" s="1" t="str">
        <f t="shared" si="101"/>
        <v>Позитивний</v>
      </c>
      <c r="J567" s="1" t="str">
        <f>"Ні"</f>
        <v>Ні</v>
      </c>
    </row>
    <row r="568" spans="1:10" ht="45" x14ac:dyDescent="0.25">
      <c r="A568" s="1" t="str">
        <f>"570-2020/27"</f>
        <v>570-2020/27</v>
      </c>
      <c r="B568" s="1" t="str">
        <f t="shared" si="100"/>
        <v>27.01.2020</v>
      </c>
      <c r="C568" s="1" t="str">
        <f t="shared" si="99"/>
        <v>Закрито</v>
      </c>
      <c r="D568" s="1" t="str">
        <f>"Реєстрація місця проживання особи"</f>
        <v>Реєстрація місця проживання особи</v>
      </c>
      <c r="E568" s="1" t="str">
        <f>"Реєстрація місця проживання"</f>
        <v>Реєстрація місця проживання</v>
      </c>
      <c r="F568" s="1" t="str">
        <f>"Відділ реєстрації Новокаховської міської ради"</f>
        <v>Відділ реєстрації Новокаховської міської ради</v>
      </c>
      <c r="G568" s="1" t="str">
        <f>"1"</f>
        <v>1</v>
      </c>
      <c r="H568" s="1" t="str">
        <f>"Результат"</f>
        <v>Результат</v>
      </c>
      <c r="I568" s="1" t="str">
        <f t="shared" si="101"/>
        <v>Позитивний</v>
      </c>
      <c r="J568" s="1" t="str">
        <f>"Так"</f>
        <v>Так</v>
      </c>
    </row>
    <row r="569" spans="1:10" ht="135" x14ac:dyDescent="0.25">
      <c r="A569" s="1" t="str">
        <f>"551-2020/27"</f>
        <v>551-2020/27</v>
      </c>
      <c r="B569" s="1" t="str">
        <f t="shared" si="100"/>
        <v>27.01.2020</v>
      </c>
      <c r="C569" s="1" t="str">
        <f t="shared" si="99"/>
        <v>Закрито</v>
      </c>
      <c r="D56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69" s="1" t="str">
        <f>"Земельні питання"</f>
        <v>Земельні питання</v>
      </c>
      <c r="F5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69" s="1" t="str">
        <f>"1"</f>
        <v>1</v>
      </c>
      <c r="H569" s="1" t="str">
        <f>"Результат"</f>
        <v>Результат</v>
      </c>
      <c r="I569" s="1" t="str">
        <f t="shared" si="101"/>
        <v>Позитивний</v>
      </c>
      <c r="J569" s="1" t="str">
        <f>"Так"</f>
        <v>Так</v>
      </c>
    </row>
    <row r="570" spans="1:10" ht="165" x14ac:dyDescent="0.25">
      <c r="A570" s="1" t="str">
        <f>"556-2020/27"</f>
        <v>556-2020/27</v>
      </c>
      <c r="B570" s="1" t="str">
        <f t="shared" si="100"/>
        <v>27.01.2020</v>
      </c>
      <c r="C570" s="1" t="str">
        <f t="shared" si="99"/>
        <v>Закрито</v>
      </c>
      <c r="D570" s="1" t="str">
        <f>"Видача експлуатаційного дозволу для провадження діяльності на потужностях (об’єктах) з виробництва, змішування та приготування кормових добавок, преміксів і кормів"</f>
        <v>Видача експлуатаційного дозволу для провадження діяльності на потужностях (об’єктах) з виробництва, змішування та приготування кормових добавок, преміксів і кормів</v>
      </c>
      <c r="E570" s="1" t="str">
        <f>"Дозволи Держпродспоживслужби"</f>
        <v>Дозволи Держпродспоживслужби</v>
      </c>
      <c r="F570" s="1" t="str">
        <f>"Управління Держпродспоживслужби в м. Новій Каховці"</f>
        <v>Управління Держпродспоживслужби в м. Новій Каховці</v>
      </c>
      <c r="G570" s="1" t="str">
        <f>"10"</f>
        <v>10</v>
      </c>
      <c r="H570" s="1" t="str">
        <f>"Результат"</f>
        <v>Результат</v>
      </c>
      <c r="I570" s="1" t="str">
        <f>"Мотивована відмова"</f>
        <v>Мотивована відмова</v>
      </c>
      <c r="J570" s="1" t="str">
        <f>"Ні"</f>
        <v>Ні</v>
      </c>
    </row>
    <row r="571" spans="1:10" ht="90" x14ac:dyDescent="0.25">
      <c r="A571" s="1" t="str">
        <f>"548-2020/27"</f>
        <v>548-2020/27</v>
      </c>
      <c r="B571" s="1" t="str">
        <f t="shared" si="100"/>
        <v>27.01.2020</v>
      </c>
      <c r="C571" s="1" t="str">
        <f t="shared" si="99"/>
        <v>Закрито</v>
      </c>
      <c r="D57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571" s="1" t="str">
        <f>"Інші послуги"</f>
        <v>Інші послуги</v>
      </c>
      <c r="F57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571" s="1" t="str">
        <f>"5"</f>
        <v>5</v>
      </c>
      <c r="H571" s="1" t="str">
        <f>"Результат"</f>
        <v>Результат</v>
      </c>
      <c r="I571" s="1" t="str">
        <f t="shared" ref="I571:I602" si="102">"Позитивний"</f>
        <v>Позитивний</v>
      </c>
      <c r="J571" s="1" t="str">
        <f>"Ні"</f>
        <v>Ні</v>
      </c>
    </row>
    <row r="572" spans="1:10" ht="45" x14ac:dyDescent="0.25">
      <c r="A572" s="1" t="str">
        <f>"545-2020/27"</f>
        <v>545-2020/27</v>
      </c>
      <c r="B572" s="1" t="str">
        <f t="shared" si="100"/>
        <v>27.01.2020</v>
      </c>
      <c r="C572" s="1" t="str">
        <f t="shared" si="99"/>
        <v>Закрито</v>
      </c>
      <c r="D572" s="1" t="str">
        <f>"Реєстрація місця проживання особи"</f>
        <v>Реєстрація місця проживання особи</v>
      </c>
      <c r="E572" s="1" t="str">
        <f>"Реєстрація місця проживання"</f>
        <v>Реєстрація місця проживання</v>
      </c>
      <c r="F572" s="1" t="str">
        <f>"Відділ реєстрації Новокаховської міської ради"</f>
        <v>Відділ реєстрації Новокаховської міської ради</v>
      </c>
      <c r="G572" s="1" t="str">
        <f>"1"</f>
        <v>1</v>
      </c>
      <c r="H572" s="1" t="str">
        <f>"Результат"</f>
        <v>Результат</v>
      </c>
      <c r="I572" s="1" t="str">
        <f t="shared" si="102"/>
        <v>Позитивний</v>
      </c>
      <c r="J572" s="1" t="str">
        <f>"Так"</f>
        <v>Так</v>
      </c>
    </row>
    <row r="573" spans="1:10" ht="45" x14ac:dyDescent="0.25">
      <c r="A573" s="1" t="str">
        <f>"553-2020/27"</f>
        <v>553-2020/27</v>
      </c>
      <c r="B573" s="1" t="str">
        <f t="shared" si="100"/>
        <v>27.01.2020</v>
      </c>
      <c r="C573" s="1" t="str">
        <f t="shared" si="99"/>
        <v>Закрито</v>
      </c>
      <c r="D573" s="1" t="str">
        <f>"Реєстрація місця проживання особи"</f>
        <v>Реєстрація місця проживання особи</v>
      </c>
      <c r="E573" s="1" t="str">
        <f>"Реєстрація місця проживання"</f>
        <v>Реєстрація місця проживання</v>
      </c>
      <c r="F573" s="1" t="str">
        <f>"Відділ реєстрації Новокаховської міської ради"</f>
        <v>Відділ реєстрації Новокаховської міської ради</v>
      </c>
      <c r="G573" s="1" t="str">
        <f>"1"</f>
        <v>1</v>
      </c>
      <c r="H573" s="1" t="str">
        <f>"Результат"</f>
        <v>Результат</v>
      </c>
      <c r="I573" s="1" t="str">
        <f t="shared" si="102"/>
        <v>Позитивний</v>
      </c>
      <c r="J573" s="1" t="str">
        <f>"Так"</f>
        <v>Так</v>
      </c>
    </row>
    <row r="574" spans="1:10" ht="135" x14ac:dyDescent="0.25">
      <c r="A574" s="1" t="str">
        <f>"572-2020/27"</f>
        <v>572-2020/27</v>
      </c>
      <c r="B574" s="1" t="str">
        <f t="shared" si="100"/>
        <v>27.01.2020</v>
      </c>
      <c r="C574" s="1" t="str">
        <f t="shared" si="99"/>
        <v>Закрито</v>
      </c>
      <c r="D57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74" s="1" t="str">
        <f>"Земельні питання"</f>
        <v>Земельні питання</v>
      </c>
      <c r="F5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74" s="1" t="str">
        <f>"3"</f>
        <v>3</v>
      </c>
      <c r="H574" s="1" t="str">
        <f>"Результат"</f>
        <v>Результат</v>
      </c>
      <c r="I574" s="1" t="str">
        <f t="shared" si="102"/>
        <v>Позитивний</v>
      </c>
      <c r="J574" s="1" t="str">
        <f>"Ні"</f>
        <v>Ні</v>
      </c>
    </row>
    <row r="575" spans="1:10" ht="135" x14ac:dyDescent="0.25">
      <c r="A575" s="1" t="str">
        <f>"561-2020/27"</f>
        <v>561-2020/27</v>
      </c>
      <c r="B575" s="1" t="str">
        <f t="shared" si="100"/>
        <v>27.01.2020</v>
      </c>
      <c r="C575" s="1" t="str">
        <f t="shared" si="99"/>
        <v>Закрито</v>
      </c>
      <c r="D57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75" s="1" t="str">
        <f>"Земельні питання"</f>
        <v>Земельні питання</v>
      </c>
      <c r="F5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75" s="1" t="str">
        <f>"3"</f>
        <v>3</v>
      </c>
      <c r="H575" s="1" t="str">
        <f>"Результат"</f>
        <v>Результат</v>
      </c>
      <c r="I575" s="1" t="str">
        <f t="shared" si="102"/>
        <v>Позитивний</v>
      </c>
      <c r="J575" s="1" t="str">
        <f>"Ні"</f>
        <v>Ні</v>
      </c>
    </row>
    <row r="576" spans="1:10" ht="135" x14ac:dyDescent="0.25">
      <c r="A576" s="1" t="str">
        <f>"552-2020/27"</f>
        <v>552-2020/27</v>
      </c>
      <c r="B576" s="1" t="str">
        <f t="shared" si="100"/>
        <v>27.01.2020</v>
      </c>
      <c r="C576" s="1" t="str">
        <f t="shared" si="99"/>
        <v>Закрито</v>
      </c>
      <c r="D57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76" s="1" t="str">
        <f>"Земельні питання"</f>
        <v>Земельні питання</v>
      </c>
      <c r="F5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76" s="1" t="str">
        <f>"3"</f>
        <v>3</v>
      </c>
      <c r="H576" s="1" t="str">
        <f>"Результат"</f>
        <v>Результат</v>
      </c>
      <c r="I576" s="1" t="str">
        <f t="shared" si="102"/>
        <v>Позитивний</v>
      </c>
      <c r="J576" s="1" t="str">
        <f>"Ні"</f>
        <v>Ні</v>
      </c>
    </row>
    <row r="577" spans="1:10" ht="135" x14ac:dyDescent="0.25">
      <c r="A577" s="1" t="str">
        <f>"544-2020/27"</f>
        <v>544-2020/27</v>
      </c>
      <c r="B577" s="1" t="str">
        <f t="shared" si="100"/>
        <v>27.01.2020</v>
      </c>
      <c r="C577" s="1" t="str">
        <f t="shared" si="99"/>
        <v>Закрито</v>
      </c>
      <c r="D577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577" s="1" t="str">
        <f>"Земельні питання"</f>
        <v>Земельні питання</v>
      </c>
      <c r="F5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77" s="1" t="str">
        <f>"14"</f>
        <v>14</v>
      </c>
      <c r="H577" s="1" t="str">
        <f>"Результат"</f>
        <v>Результат</v>
      </c>
      <c r="I577" s="1" t="str">
        <f t="shared" si="102"/>
        <v>Позитивний</v>
      </c>
      <c r="J577" s="1" t="str">
        <f>"Ні"</f>
        <v>Ні</v>
      </c>
    </row>
    <row r="578" spans="1:10" ht="45" x14ac:dyDescent="0.25">
      <c r="A578" s="1" t="str">
        <f>"554-2020/27"</f>
        <v>554-2020/27</v>
      </c>
      <c r="B578" s="1" t="str">
        <f t="shared" si="100"/>
        <v>27.01.2020</v>
      </c>
      <c r="C578" s="1" t="str">
        <f t="shared" si="99"/>
        <v>Закрито</v>
      </c>
      <c r="D578" s="1" t="str">
        <f>"Реєстрація місця проживання особи"</f>
        <v>Реєстрація місця проживання особи</v>
      </c>
      <c r="E578" s="1" t="str">
        <f>"Реєстрація місця проживання"</f>
        <v>Реєстрація місця проживання</v>
      </c>
      <c r="F578" s="1" t="str">
        <f>"Відділ реєстрації Новокаховської міської ради"</f>
        <v>Відділ реєстрації Новокаховської міської ради</v>
      </c>
      <c r="G578" s="1" t="str">
        <f>"1"</f>
        <v>1</v>
      </c>
      <c r="H578" s="1" t="str">
        <f>"Результат"</f>
        <v>Результат</v>
      </c>
      <c r="I578" s="1" t="str">
        <f t="shared" si="102"/>
        <v>Позитивний</v>
      </c>
      <c r="J578" s="1" t="str">
        <f>"Так"</f>
        <v>Так</v>
      </c>
    </row>
    <row r="579" spans="1:10" ht="45" x14ac:dyDescent="0.25">
      <c r="A579" s="1" t="str">
        <f>"547-2020/27"</f>
        <v>547-2020/27</v>
      </c>
      <c r="B579" s="1" t="str">
        <f t="shared" si="100"/>
        <v>27.01.2020</v>
      </c>
      <c r="C579" s="1" t="str">
        <f t="shared" si="99"/>
        <v>Закрито</v>
      </c>
      <c r="D579" s="1" t="str">
        <f>"Реєстрація місця проживання особи"</f>
        <v>Реєстрація місця проживання особи</v>
      </c>
      <c r="E579" s="1" t="str">
        <f>"Реєстрація місця проживання"</f>
        <v>Реєстрація місця проживання</v>
      </c>
      <c r="F579" s="1" t="str">
        <f>"Відділ реєстрації Новокаховської міської ради"</f>
        <v>Відділ реєстрації Новокаховської міської ради</v>
      </c>
      <c r="G579" s="1" t="str">
        <f>"1"</f>
        <v>1</v>
      </c>
      <c r="H579" s="1" t="str">
        <f>"Результат"</f>
        <v>Результат</v>
      </c>
      <c r="I579" s="1" t="str">
        <f t="shared" si="102"/>
        <v>Позитивний</v>
      </c>
      <c r="J579" s="1" t="str">
        <f>"Так"</f>
        <v>Так</v>
      </c>
    </row>
    <row r="580" spans="1:10" ht="135" x14ac:dyDescent="0.25">
      <c r="A580" s="1" t="str">
        <f>"579-2020/27"</f>
        <v>579-2020/27</v>
      </c>
      <c r="B580" s="1" t="str">
        <f t="shared" ref="B580:B619" si="103">"28.01.2020"</f>
        <v>28.01.2020</v>
      </c>
      <c r="C580" s="1" t="str">
        <f t="shared" si="99"/>
        <v>Закрито</v>
      </c>
      <c r="D58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80" s="1" t="str">
        <f>"Земельні питання"</f>
        <v>Земельні питання</v>
      </c>
      <c r="F5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80" s="1" t="str">
        <f>"3"</f>
        <v>3</v>
      </c>
      <c r="H580" s="1" t="str">
        <f>"Результат"</f>
        <v>Результат</v>
      </c>
      <c r="I580" s="1" t="str">
        <f t="shared" si="102"/>
        <v>Позитивний</v>
      </c>
      <c r="J580" s="1" t="str">
        <f>"Ні"</f>
        <v>Ні</v>
      </c>
    </row>
    <row r="581" spans="1:10" ht="135" x14ac:dyDescent="0.25">
      <c r="A581" s="1" t="str">
        <f>"580-2020/27"</f>
        <v>580-2020/27</v>
      </c>
      <c r="B581" s="1" t="str">
        <f t="shared" si="103"/>
        <v>28.01.2020</v>
      </c>
      <c r="C581" s="1" t="str">
        <f t="shared" si="99"/>
        <v>Закрито</v>
      </c>
      <c r="D58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81" s="1" t="str">
        <f>"Земельні питання"</f>
        <v>Земельні питання</v>
      </c>
      <c r="F5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81" s="1" t="str">
        <f>"3"</f>
        <v>3</v>
      </c>
      <c r="H581" s="1" t="str">
        <f>"Результат"</f>
        <v>Результат</v>
      </c>
      <c r="I581" s="1" t="str">
        <f t="shared" si="102"/>
        <v>Позитивний</v>
      </c>
      <c r="J581" s="1" t="str">
        <f>"Ні"</f>
        <v>Ні</v>
      </c>
    </row>
    <row r="582" spans="1:10" ht="135" x14ac:dyDescent="0.25">
      <c r="A582" s="1" t="str">
        <f>"596-2020/27"</f>
        <v>596-2020/27</v>
      </c>
      <c r="B582" s="1" t="str">
        <f t="shared" si="103"/>
        <v>28.01.2020</v>
      </c>
      <c r="C582" s="1" t="str">
        <f t="shared" si="99"/>
        <v>Закрито</v>
      </c>
      <c r="D58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82" s="1" t="str">
        <f>"Земельні питання"</f>
        <v>Земельні питання</v>
      </c>
      <c r="F5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82" s="1" t="str">
        <f>"3"</f>
        <v>3</v>
      </c>
      <c r="H582" s="1" t="str">
        <f>"Результат"</f>
        <v>Результат</v>
      </c>
      <c r="I582" s="1" t="str">
        <f t="shared" si="102"/>
        <v>Позитивний</v>
      </c>
      <c r="J582" s="1" t="str">
        <f>"Ні"</f>
        <v>Ні</v>
      </c>
    </row>
    <row r="583" spans="1:10" ht="45" x14ac:dyDescent="0.25">
      <c r="A583" s="1" t="str">
        <f>"607-2020/27"</f>
        <v>607-2020/27</v>
      </c>
      <c r="B583" s="1" t="str">
        <f t="shared" si="103"/>
        <v>28.01.2020</v>
      </c>
      <c r="C583" s="1" t="str">
        <f t="shared" si="99"/>
        <v>Закрито</v>
      </c>
      <c r="D583" s="1" t="str">
        <f>"Реєстрація місця проживання особи"</f>
        <v>Реєстрація місця проживання особи</v>
      </c>
      <c r="E583" s="1" t="str">
        <f>"Реєстрація місця проживання"</f>
        <v>Реєстрація місця проживання</v>
      </c>
      <c r="F583" s="1" t="str">
        <f>"Відділ реєстрації Новокаховської міської ради"</f>
        <v>Відділ реєстрації Новокаховської міської ради</v>
      </c>
      <c r="G583" s="1" t="str">
        <f>"1"</f>
        <v>1</v>
      </c>
      <c r="H583" s="1" t="str">
        <f>"Результат"</f>
        <v>Результат</v>
      </c>
      <c r="I583" s="1" t="str">
        <f t="shared" si="102"/>
        <v>Позитивний</v>
      </c>
      <c r="J583" s="1" t="str">
        <f>"Так"</f>
        <v>Так</v>
      </c>
    </row>
    <row r="584" spans="1:10" ht="135" x14ac:dyDescent="0.25">
      <c r="A584" s="1" t="str">
        <f>"601-2020/27"</f>
        <v>601-2020/27</v>
      </c>
      <c r="B584" s="1" t="str">
        <f t="shared" si="103"/>
        <v>28.01.2020</v>
      </c>
      <c r="C584" s="1" t="str">
        <f t="shared" si="99"/>
        <v>Закрито</v>
      </c>
      <c r="D58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84" s="1" t="str">
        <f>"Земельні питання"</f>
        <v>Земельні питання</v>
      </c>
      <c r="F5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84" s="1" t="str">
        <f>"3"</f>
        <v>3</v>
      </c>
      <c r="H584" s="1" t="str">
        <f>"Результат"</f>
        <v>Результат</v>
      </c>
      <c r="I584" s="1" t="str">
        <f t="shared" si="102"/>
        <v>Позитивний</v>
      </c>
      <c r="J584" s="1" t="str">
        <f>"Ні"</f>
        <v>Ні</v>
      </c>
    </row>
    <row r="585" spans="1:10" ht="135" x14ac:dyDescent="0.25">
      <c r="A585" s="1" t="str">
        <f>"575-2020/27"</f>
        <v>575-2020/27</v>
      </c>
      <c r="B585" s="1" t="str">
        <f t="shared" si="103"/>
        <v>28.01.2020</v>
      </c>
      <c r="C585" s="1" t="str">
        <f t="shared" si="99"/>
        <v>Закрито</v>
      </c>
      <c r="D58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85" s="1" t="str">
        <f>"Земельні питання"</f>
        <v>Земельні питання</v>
      </c>
      <c r="F5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85" s="1" t="str">
        <f>"1"</f>
        <v>1</v>
      </c>
      <c r="H585" s="1" t="str">
        <f>"Результат"</f>
        <v>Результат</v>
      </c>
      <c r="I585" s="1" t="str">
        <f t="shared" si="102"/>
        <v>Позитивний</v>
      </c>
      <c r="J585" s="1" t="str">
        <f>"Ні"</f>
        <v>Ні</v>
      </c>
    </row>
    <row r="586" spans="1:10" ht="45" x14ac:dyDescent="0.25">
      <c r="A586" s="1" t="str">
        <f>"581-2020/27"</f>
        <v>581-2020/27</v>
      </c>
      <c r="B586" s="1" t="str">
        <f t="shared" si="103"/>
        <v>28.01.2020</v>
      </c>
      <c r="C586" s="1" t="str">
        <f t="shared" si="99"/>
        <v>Закрито</v>
      </c>
      <c r="D586" s="1" t="str">
        <f>"Реєстрація місця проживання особи"</f>
        <v>Реєстрація місця проживання особи</v>
      </c>
      <c r="E586" s="1" t="str">
        <f>"Реєстрація місця проживання"</f>
        <v>Реєстрація місця проживання</v>
      </c>
      <c r="F586" s="1" t="str">
        <f>"Відділ реєстрації Новокаховської міської ради"</f>
        <v>Відділ реєстрації Новокаховської міської ради</v>
      </c>
      <c r="G586" s="1" t="str">
        <f>"1"</f>
        <v>1</v>
      </c>
      <c r="H586" s="1" t="str">
        <f>"Результат"</f>
        <v>Результат</v>
      </c>
      <c r="I586" s="1" t="str">
        <f t="shared" si="102"/>
        <v>Позитивний</v>
      </c>
      <c r="J586" s="1" t="str">
        <f>"Так"</f>
        <v>Так</v>
      </c>
    </row>
    <row r="587" spans="1:10" ht="45" x14ac:dyDescent="0.25">
      <c r="A587" s="1" t="str">
        <f>"585-2020/27"</f>
        <v>585-2020/27</v>
      </c>
      <c r="B587" s="1" t="str">
        <f t="shared" si="103"/>
        <v>28.01.2020</v>
      </c>
      <c r="C587" s="1" t="str">
        <f t="shared" si="99"/>
        <v>Закрито</v>
      </c>
      <c r="D587" s="1" t="str">
        <f>"Реєстрація місця проживання особи"</f>
        <v>Реєстрація місця проживання особи</v>
      </c>
      <c r="E587" s="1" t="str">
        <f>"Реєстрація місця проживання"</f>
        <v>Реєстрація місця проживання</v>
      </c>
      <c r="F587" s="1" t="str">
        <f>"Відділ реєстрації Новокаховської міської ради"</f>
        <v>Відділ реєстрації Новокаховської міської ради</v>
      </c>
      <c r="G587" s="1" t="str">
        <f>"1"</f>
        <v>1</v>
      </c>
      <c r="H587" s="1" t="str">
        <f>"Результат"</f>
        <v>Результат</v>
      </c>
      <c r="I587" s="1" t="str">
        <f t="shared" si="102"/>
        <v>Позитивний</v>
      </c>
      <c r="J587" s="1" t="str">
        <f>"Так"</f>
        <v>Так</v>
      </c>
    </row>
    <row r="588" spans="1:10" ht="135" x14ac:dyDescent="0.25">
      <c r="A588" s="1" t="str">
        <f>"589-2020/27"</f>
        <v>589-2020/27</v>
      </c>
      <c r="B588" s="1" t="str">
        <f t="shared" si="103"/>
        <v>28.01.2020</v>
      </c>
      <c r="C588" s="1" t="str">
        <f t="shared" si="99"/>
        <v>Закрито</v>
      </c>
      <c r="D5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88" s="1" t="str">
        <f>"Земельні питання"</f>
        <v>Земельні питання</v>
      </c>
      <c r="F5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88" s="1" t="str">
        <f>"3"</f>
        <v>3</v>
      </c>
      <c r="H588" s="1" t="str">
        <f>"Результат"</f>
        <v>Результат</v>
      </c>
      <c r="I588" s="1" t="str">
        <f t="shared" si="102"/>
        <v>Позитивний</v>
      </c>
      <c r="J588" s="1" t="str">
        <f>"Ні"</f>
        <v>Ні</v>
      </c>
    </row>
    <row r="589" spans="1:10" ht="135" x14ac:dyDescent="0.25">
      <c r="A589" s="1" t="str">
        <f>"584-2020/27"</f>
        <v>584-2020/27</v>
      </c>
      <c r="B589" s="1" t="str">
        <f t="shared" si="103"/>
        <v>28.01.2020</v>
      </c>
      <c r="C589" s="1" t="str">
        <f t="shared" si="99"/>
        <v>Закрито</v>
      </c>
      <c r="D5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89" s="1" t="str">
        <f>"Земельні питання"</f>
        <v>Земельні питання</v>
      </c>
      <c r="F5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89" s="1" t="str">
        <f>"1"</f>
        <v>1</v>
      </c>
      <c r="H589" s="1" t="str">
        <f>"Результат"</f>
        <v>Результат</v>
      </c>
      <c r="I589" s="1" t="str">
        <f t="shared" si="102"/>
        <v>Позитивний</v>
      </c>
      <c r="J589" s="1" t="str">
        <f>"Так"</f>
        <v>Так</v>
      </c>
    </row>
    <row r="590" spans="1:10" ht="135" x14ac:dyDescent="0.25">
      <c r="A590" s="1" t="str">
        <f>"606-2020/27"</f>
        <v>606-2020/27</v>
      </c>
      <c r="B590" s="1" t="str">
        <f t="shared" si="103"/>
        <v>28.01.2020</v>
      </c>
      <c r="C590" s="1" t="str">
        <f t="shared" si="99"/>
        <v>Закрито</v>
      </c>
      <c r="D59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0" s="1" t="str">
        <f>"Земельні питання"</f>
        <v>Земельні питання</v>
      </c>
      <c r="F5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0" s="1" t="str">
        <f>"3"</f>
        <v>3</v>
      </c>
      <c r="H590" s="1" t="str">
        <f>"Результат"</f>
        <v>Результат</v>
      </c>
      <c r="I590" s="1" t="str">
        <f t="shared" si="102"/>
        <v>Позитивний</v>
      </c>
      <c r="J590" s="1" t="str">
        <f t="shared" ref="J590:J598" si="104">"Ні"</f>
        <v>Ні</v>
      </c>
    </row>
    <row r="591" spans="1:10" ht="135" x14ac:dyDescent="0.25">
      <c r="A591" s="1" t="str">
        <f>"598-2020/27"</f>
        <v>598-2020/27</v>
      </c>
      <c r="B591" s="1" t="str">
        <f t="shared" si="103"/>
        <v>28.01.2020</v>
      </c>
      <c r="C591" s="1" t="str">
        <f t="shared" si="99"/>
        <v>Закрито</v>
      </c>
      <c r="D59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1" s="1" t="str">
        <f>"Земельні питання"</f>
        <v>Земельні питання</v>
      </c>
      <c r="F5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1" s="1" t="str">
        <f>"3"</f>
        <v>3</v>
      </c>
      <c r="H591" s="1" t="str">
        <f>"Результат"</f>
        <v>Результат</v>
      </c>
      <c r="I591" s="1" t="str">
        <f t="shared" si="102"/>
        <v>Позитивний</v>
      </c>
      <c r="J591" s="1" t="str">
        <f t="shared" si="104"/>
        <v>Ні</v>
      </c>
    </row>
    <row r="592" spans="1:10" ht="135" x14ac:dyDescent="0.25">
      <c r="A592" s="1" t="str">
        <f>"594-2020/27"</f>
        <v>594-2020/27</v>
      </c>
      <c r="B592" s="1" t="str">
        <f t="shared" si="103"/>
        <v>28.01.2020</v>
      </c>
      <c r="C592" s="1" t="str">
        <f t="shared" si="99"/>
        <v>Закрито</v>
      </c>
      <c r="D59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2" s="1" t="str">
        <f>"Земельні питання"</f>
        <v>Земельні питання</v>
      </c>
      <c r="F5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2" s="1" t="str">
        <f>"3"</f>
        <v>3</v>
      </c>
      <c r="H592" s="1" t="str">
        <f>"Результат"</f>
        <v>Результат</v>
      </c>
      <c r="I592" s="1" t="str">
        <f t="shared" si="102"/>
        <v>Позитивний</v>
      </c>
      <c r="J592" s="1" t="str">
        <f t="shared" si="104"/>
        <v>Ні</v>
      </c>
    </row>
    <row r="593" spans="1:10" ht="90" x14ac:dyDescent="0.25">
      <c r="A593" s="1" t="str">
        <f>"599-2020/27"</f>
        <v>599-2020/27</v>
      </c>
      <c r="B593" s="1" t="str">
        <f t="shared" si="103"/>
        <v>28.01.2020</v>
      </c>
      <c r="C593" s="1" t="str">
        <f t="shared" si="99"/>
        <v>Закрито</v>
      </c>
      <c r="D59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593" s="1" t="str">
        <f>"Інші послуги"</f>
        <v>Інші послуги</v>
      </c>
      <c r="F59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593" s="1" t="str">
        <f>"5"</f>
        <v>5</v>
      </c>
      <c r="H593" s="1" t="str">
        <f>"Результат"</f>
        <v>Результат</v>
      </c>
      <c r="I593" s="1" t="str">
        <f t="shared" si="102"/>
        <v>Позитивний</v>
      </c>
      <c r="J593" s="1" t="str">
        <f t="shared" si="104"/>
        <v>Ні</v>
      </c>
    </row>
    <row r="594" spans="1:10" ht="135" x14ac:dyDescent="0.25">
      <c r="A594" s="1" t="str">
        <f>"597-2020/27"</f>
        <v>597-2020/27</v>
      </c>
      <c r="B594" s="1" t="str">
        <f t="shared" si="103"/>
        <v>28.01.2020</v>
      </c>
      <c r="C594" s="1" t="str">
        <f t="shared" si="99"/>
        <v>Закрито</v>
      </c>
      <c r="D5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4" s="1" t="str">
        <f t="shared" ref="E594:E600" si="105">"Земельні питання"</f>
        <v>Земельні питання</v>
      </c>
      <c r="F594" s="1" t="str">
        <f t="shared" ref="F594:F600" si="106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4" s="1" t="str">
        <f>"3"</f>
        <v>3</v>
      </c>
      <c r="H594" s="1" t="str">
        <f>"Результат"</f>
        <v>Результат</v>
      </c>
      <c r="I594" s="1" t="str">
        <f t="shared" si="102"/>
        <v>Позитивний</v>
      </c>
      <c r="J594" s="1" t="str">
        <f t="shared" si="104"/>
        <v>Ні</v>
      </c>
    </row>
    <row r="595" spans="1:10" ht="135" x14ac:dyDescent="0.25">
      <c r="A595" s="1" t="str">
        <f>"586-2020/27"</f>
        <v>586-2020/27</v>
      </c>
      <c r="B595" s="1" t="str">
        <f t="shared" si="103"/>
        <v>28.01.2020</v>
      </c>
      <c r="C595" s="1" t="str">
        <f t="shared" si="99"/>
        <v>Закрито</v>
      </c>
      <c r="D59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5" s="1" t="str">
        <f t="shared" si="105"/>
        <v>Земельні питання</v>
      </c>
      <c r="F595" s="1" t="str">
        <f t="shared" si="10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5" s="1" t="str">
        <f>"3"</f>
        <v>3</v>
      </c>
      <c r="H595" s="1" t="str">
        <f>"Результат"</f>
        <v>Результат</v>
      </c>
      <c r="I595" s="1" t="str">
        <f t="shared" si="102"/>
        <v>Позитивний</v>
      </c>
      <c r="J595" s="1" t="str">
        <f t="shared" si="104"/>
        <v>Ні</v>
      </c>
    </row>
    <row r="596" spans="1:10" ht="135" x14ac:dyDescent="0.25">
      <c r="A596" s="1" t="str">
        <f>"610-2020/27"</f>
        <v>610-2020/27</v>
      </c>
      <c r="B596" s="1" t="str">
        <f t="shared" si="103"/>
        <v>28.01.2020</v>
      </c>
      <c r="C596" s="1" t="str">
        <f t="shared" si="99"/>
        <v>Закрито</v>
      </c>
      <c r="D59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6" s="1" t="str">
        <f t="shared" si="105"/>
        <v>Земельні питання</v>
      </c>
      <c r="F596" s="1" t="str">
        <f t="shared" si="10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6" s="1" t="str">
        <f>"3"</f>
        <v>3</v>
      </c>
      <c r="H596" s="1" t="str">
        <f>"Результат"</f>
        <v>Результат</v>
      </c>
      <c r="I596" s="1" t="str">
        <f t="shared" si="102"/>
        <v>Позитивний</v>
      </c>
      <c r="J596" s="1" t="str">
        <f t="shared" si="104"/>
        <v>Ні</v>
      </c>
    </row>
    <row r="597" spans="1:10" ht="135" x14ac:dyDescent="0.25">
      <c r="A597" s="1" t="str">
        <f>"611-2020/27"</f>
        <v>611-2020/27</v>
      </c>
      <c r="B597" s="1" t="str">
        <f t="shared" si="103"/>
        <v>28.01.2020</v>
      </c>
      <c r="C597" s="1" t="str">
        <f t="shared" si="99"/>
        <v>Закрито</v>
      </c>
      <c r="D5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7" s="1" t="str">
        <f t="shared" si="105"/>
        <v>Земельні питання</v>
      </c>
      <c r="F597" s="1" t="str">
        <f t="shared" si="10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7" s="1" t="str">
        <f>"3"</f>
        <v>3</v>
      </c>
      <c r="H597" s="1" t="str">
        <f>"Результат"</f>
        <v>Результат</v>
      </c>
      <c r="I597" s="1" t="str">
        <f t="shared" si="102"/>
        <v>Позитивний</v>
      </c>
      <c r="J597" s="1" t="str">
        <f t="shared" si="104"/>
        <v>Ні</v>
      </c>
    </row>
    <row r="598" spans="1:10" ht="135" x14ac:dyDescent="0.25">
      <c r="A598" s="1" t="str">
        <f>"612-2020/27"</f>
        <v>612-2020/27</v>
      </c>
      <c r="B598" s="1" t="str">
        <f t="shared" si="103"/>
        <v>28.01.2020</v>
      </c>
      <c r="C598" s="1" t="str">
        <f t="shared" si="99"/>
        <v>Закрито</v>
      </c>
      <c r="D5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598" s="1" t="str">
        <f t="shared" si="105"/>
        <v>Земельні питання</v>
      </c>
      <c r="F598" s="1" t="str">
        <f t="shared" si="10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8" s="1" t="str">
        <f>"3"</f>
        <v>3</v>
      </c>
      <c r="H598" s="1" t="str">
        <f>"Результат"</f>
        <v>Результат</v>
      </c>
      <c r="I598" s="1" t="str">
        <f t="shared" si="102"/>
        <v>Позитивний</v>
      </c>
      <c r="J598" s="1" t="str">
        <f t="shared" si="104"/>
        <v>Ні</v>
      </c>
    </row>
    <row r="599" spans="1:10" ht="135" x14ac:dyDescent="0.25">
      <c r="A599" s="1" t="str">
        <f>"591-2020/27"</f>
        <v>591-2020/27</v>
      </c>
      <c r="B599" s="1" t="str">
        <f t="shared" si="103"/>
        <v>28.01.2020</v>
      </c>
      <c r="C599" s="1" t="str">
        <f t="shared" si="99"/>
        <v>Закрито</v>
      </c>
      <c r="D59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599" s="1" t="str">
        <f t="shared" si="105"/>
        <v>Земельні питання</v>
      </c>
      <c r="F599" s="1" t="str">
        <f t="shared" si="10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599" s="1" t="str">
        <f>"1"</f>
        <v>1</v>
      </c>
      <c r="H599" s="1" t="str">
        <f>"Результат"</f>
        <v>Результат</v>
      </c>
      <c r="I599" s="1" t="str">
        <f t="shared" si="102"/>
        <v>Позитивний</v>
      </c>
      <c r="J599" s="1" t="str">
        <f>"Так"</f>
        <v>Так</v>
      </c>
    </row>
    <row r="600" spans="1:10" ht="135" x14ac:dyDescent="0.25">
      <c r="A600" s="1" t="str">
        <f>"605-2020/27"</f>
        <v>605-2020/27</v>
      </c>
      <c r="B600" s="1" t="str">
        <f t="shared" si="103"/>
        <v>28.01.2020</v>
      </c>
      <c r="C600" s="1" t="str">
        <f t="shared" si="99"/>
        <v>Закрито</v>
      </c>
      <c r="D6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00" s="1" t="str">
        <f t="shared" si="105"/>
        <v>Земельні питання</v>
      </c>
      <c r="F600" s="1" t="str">
        <f t="shared" si="10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00" s="1" t="str">
        <f>"3"</f>
        <v>3</v>
      </c>
      <c r="H600" s="1" t="str">
        <f>"Результат"</f>
        <v>Результат</v>
      </c>
      <c r="I600" s="1" t="str">
        <f t="shared" si="102"/>
        <v>Позитивний</v>
      </c>
      <c r="J600" s="1" t="str">
        <f>"Ні"</f>
        <v>Ні</v>
      </c>
    </row>
    <row r="601" spans="1:10" ht="45" x14ac:dyDescent="0.25">
      <c r="A601" s="1" t="str">
        <f>"590-2020/27"</f>
        <v>590-2020/27</v>
      </c>
      <c r="B601" s="1" t="str">
        <f t="shared" si="103"/>
        <v>28.01.2020</v>
      </c>
      <c r="C601" s="1" t="str">
        <f t="shared" si="99"/>
        <v>Закрито</v>
      </c>
      <c r="D601" s="1" t="str">
        <f>"Реєстрація місця проживання особи"</f>
        <v>Реєстрація місця проживання особи</v>
      </c>
      <c r="E601" s="1" t="str">
        <f>"Реєстрація місця проживання"</f>
        <v>Реєстрація місця проживання</v>
      </c>
      <c r="F601" s="1" t="str">
        <f>"Відділ реєстрації Новокаховської міської ради"</f>
        <v>Відділ реєстрації Новокаховської міської ради</v>
      </c>
      <c r="G601" s="1" t="str">
        <f>"1"</f>
        <v>1</v>
      </c>
      <c r="H601" s="1" t="str">
        <f>"Результат"</f>
        <v>Результат</v>
      </c>
      <c r="I601" s="1" t="str">
        <f t="shared" si="102"/>
        <v>Позитивний</v>
      </c>
      <c r="J601" s="1" t="str">
        <f>"Так"</f>
        <v>Так</v>
      </c>
    </row>
    <row r="602" spans="1:10" ht="135" x14ac:dyDescent="0.25">
      <c r="A602" s="1" t="str">
        <f>"609-2020/27"</f>
        <v>609-2020/27</v>
      </c>
      <c r="B602" s="1" t="str">
        <f t="shared" si="103"/>
        <v>28.01.2020</v>
      </c>
      <c r="C602" s="1" t="str">
        <f t="shared" si="99"/>
        <v>Закрито</v>
      </c>
      <c r="D6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02" s="1" t="str">
        <f>"Земельні питання"</f>
        <v>Земельні питання</v>
      </c>
      <c r="F6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02" s="1" t="str">
        <f>"3"</f>
        <v>3</v>
      </c>
      <c r="H602" s="1" t="str">
        <f>"Результат"</f>
        <v>Результат</v>
      </c>
      <c r="I602" s="1" t="str">
        <f t="shared" si="102"/>
        <v>Позитивний</v>
      </c>
      <c r="J602" s="1" t="str">
        <f>"Ні"</f>
        <v>Ні</v>
      </c>
    </row>
    <row r="603" spans="1:10" ht="45" x14ac:dyDescent="0.25">
      <c r="A603" s="1" t="str">
        <f>"582-2020/27"</f>
        <v>582-2020/27</v>
      </c>
      <c r="B603" s="1" t="str">
        <f t="shared" si="103"/>
        <v>28.01.2020</v>
      </c>
      <c r="C603" s="1" t="str">
        <f t="shared" si="99"/>
        <v>Закрито</v>
      </c>
      <c r="D603" s="1" t="str">
        <f>"Зняття з реєстрації місця проживання"</f>
        <v>Зняття з реєстрації місця проживання</v>
      </c>
      <c r="E603" s="1" t="str">
        <f>"Реєстрація місця проживання"</f>
        <v>Реєстрація місця проживання</v>
      </c>
      <c r="F603" s="1" t="str">
        <f>"Відділ реєстрації Новокаховської міської ради"</f>
        <v>Відділ реєстрації Новокаховської міської ради</v>
      </c>
      <c r="G603" s="1" t="str">
        <f>"1"</f>
        <v>1</v>
      </c>
      <c r="H603" s="1" t="str">
        <f>"Результат"</f>
        <v>Результат</v>
      </c>
      <c r="I603" s="1" t="str">
        <f t="shared" ref="I603:I619" si="107">"Позитивний"</f>
        <v>Позитивний</v>
      </c>
      <c r="J603" s="1" t="str">
        <f>"Так"</f>
        <v>Так</v>
      </c>
    </row>
    <row r="604" spans="1:10" ht="135" x14ac:dyDescent="0.25">
      <c r="A604" s="1" t="str">
        <f>"587-2020/27"</f>
        <v>587-2020/27</v>
      </c>
      <c r="B604" s="1" t="str">
        <f t="shared" si="103"/>
        <v>28.01.2020</v>
      </c>
      <c r="C604" s="1" t="str">
        <f t="shared" si="99"/>
        <v>Закрито</v>
      </c>
      <c r="D60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04" s="1" t="str">
        <f>"Земельні питання"</f>
        <v>Земельні питання</v>
      </c>
      <c r="F6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04" s="1" t="str">
        <f>"3"</f>
        <v>3</v>
      </c>
      <c r="H604" s="1" t="str">
        <f>"Результат"</f>
        <v>Результат</v>
      </c>
      <c r="I604" s="1" t="str">
        <f t="shared" si="107"/>
        <v>Позитивний</v>
      </c>
      <c r="J604" s="1" t="str">
        <f>"Ні"</f>
        <v>Ні</v>
      </c>
    </row>
    <row r="605" spans="1:10" ht="45" x14ac:dyDescent="0.25">
      <c r="A605" s="1" t="str">
        <f>"583-2020/27"</f>
        <v>583-2020/27</v>
      </c>
      <c r="B605" s="1" t="str">
        <f t="shared" si="103"/>
        <v>28.01.2020</v>
      </c>
      <c r="C605" s="1" t="str">
        <f t="shared" si="99"/>
        <v>Закрито</v>
      </c>
      <c r="D605" s="1" t="str">
        <f>"Зняття з реєстрації місця проживання"</f>
        <v>Зняття з реєстрації місця проживання</v>
      </c>
      <c r="E605" s="1" t="str">
        <f t="shared" ref="E605:E610" si="108">"Реєстрація місця проживання"</f>
        <v>Реєстрація місця проживання</v>
      </c>
      <c r="F605" s="1" t="str">
        <f t="shared" ref="F605:F610" si="109">"Відділ реєстрації Новокаховської міської ради"</f>
        <v>Відділ реєстрації Новокаховської міської ради</v>
      </c>
      <c r="G605" s="1" t="str">
        <f t="shared" ref="G605:G610" si="110">"1"</f>
        <v>1</v>
      </c>
      <c r="H605" s="1" t="str">
        <f>"Результат"</f>
        <v>Результат</v>
      </c>
      <c r="I605" s="1" t="str">
        <f t="shared" si="107"/>
        <v>Позитивний</v>
      </c>
      <c r="J605" s="1" t="str">
        <f t="shared" ref="J605:J610" si="111">"Так"</f>
        <v>Так</v>
      </c>
    </row>
    <row r="606" spans="1:10" ht="45" x14ac:dyDescent="0.25">
      <c r="A606" s="1" t="str">
        <f>"578-2020/27"</f>
        <v>578-2020/27</v>
      </c>
      <c r="B606" s="1" t="str">
        <f t="shared" si="103"/>
        <v>28.01.2020</v>
      </c>
      <c r="C606" s="1" t="str">
        <f t="shared" si="99"/>
        <v>Закрито</v>
      </c>
      <c r="D606" s="1" t="str">
        <f>"Реєстрація місця проживання особи"</f>
        <v>Реєстрація місця проживання особи</v>
      </c>
      <c r="E606" s="1" t="str">
        <f t="shared" si="108"/>
        <v>Реєстрація місця проживання</v>
      </c>
      <c r="F606" s="1" t="str">
        <f t="shared" si="109"/>
        <v>Відділ реєстрації Новокаховської міської ради</v>
      </c>
      <c r="G606" s="1" t="str">
        <f t="shared" si="110"/>
        <v>1</v>
      </c>
      <c r="H606" s="1" t="str">
        <f>"Результат"</f>
        <v>Результат</v>
      </c>
      <c r="I606" s="1" t="str">
        <f t="shared" si="107"/>
        <v>Позитивний</v>
      </c>
      <c r="J606" s="1" t="str">
        <f t="shared" si="111"/>
        <v>Так</v>
      </c>
    </row>
    <row r="607" spans="1:10" ht="45" x14ac:dyDescent="0.25">
      <c r="A607" s="1" t="str">
        <f>"577-2020/27"</f>
        <v>577-2020/27</v>
      </c>
      <c r="B607" s="1" t="str">
        <f t="shared" si="103"/>
        <v>28.01.2020</v>
      </c>
      <c r="C607" s="1" t="str">
        <f t="shared" si="99"/>
        <v>Закрито</v>
      </c>
      <c r="D607" s="1" t="str">
        <f>"Реєстрація місця проживання особи"</f>
        <v>Реєстрація місця проживання особи</v>
      </c>
      <c r="E607" s="1" t="str">
        <f t="shared" si="108"/>
        <v>Реєстрація місця проживання</v>
      </c>
      <c r="F607" s="1" t="str">
        <f t="shared" si="109"/>
        <v>Відділ реєстрації Новокаховської міської ради</v>
      </c>
      <c r="G607" s="1" t="str">
        <f t="shared" si="110"/>
        <v>1</v>
      </c>
      <c r="H607" s="1" t="str">
        <f>"Результат"</f>
        <v>Результат</v>
      </c>
      <c r="I607" s="1" t="str">
        <f t="shared" si="107"/>
        <v>Позитивний</v>
      </c>
      <c r="J607" s="1" t="str">
        <f t="shared" si="111"/>
        <v>Так</v>
      </c>
    </row>
    <row r="608" spans="1:10" ht="45" x14ac:dyDescent="0.25">
      <c r="A608" s="1" t="str">
        <f>"576-2020/27"</f>
        <v>576-2020/27</v>
      </c>
      <c r="B608" s="1" t="str">
        <f t="shared" si="103"/>
        <v>28.01.2020</v>
      </c>
      <c r="C608" s="1" t="str">
        <f t="shared" ref="C608:C671" si="112">"Закрито"</f>
        <v>Закрито</v>
      </c>
      <c r="D608" s="1" t="str">
        <f>"Реєстрація місця проживання особи"</f>
        <v>Реєстрація місця проживання особи</v>
      </c>
      <c r="E608" s="1" t="str">
        <f t="shared" si="108"/>
        <v>Реєстрація місця проживання</v>
      </c>
      <c r="F608" s="1" t="str">
        <f t="shared" si="109"/>
        <v>Відділ реєстрації Новокаховської міської ради</v>
      </c>
      <c r="G608" s="1" t="str">
        <f t="shared" si="110"/>
        <v>1</v>
      </c>
      <c r="H608" s="1" t="str">
        <f>"Результат"</f>
        <v>Результат</v>
      </c>
      <c r="I608" s="1" t="str">
        <f t="shared" si="107"/>
        <v>Позитивний</v>
      </c>
      <c r="J608" s="1" t="str">
        <f t="shared" si="111"/>
        <v>Так</v>
      </c>
    </row>
    <row r="609" spans="1:10" ht="45" x14ac:dyDescent="0.25">
      <c r="A609" s="1" t="str">
        <f>"608-2020/27"</f>
        <v>608-2020/27</v>
      </c>
      <c r="B609" s="1" t="str">
        <f t="shared" si="103"/>
        <v>28.01.2020</v>
      </c>
      <c r="C609" s="1" t="str">
        <f t="shared" si="112"/>
        <v>Закрито</v>
      </c>
      <c r="D609" s="1" t="str">
        <f>"Зняття з реєстрації місця проживання"</f>
        <v>Зняття з реєстрації місця проживання</v>
      </c>
      <c r="E609" s="1" t="str">
        <f t="shared" si="108"/>
        <v>Реєстрація місця проживання</v>
      </c>
      <c r="F609" s="1" t="str">
        <f t="shared" si="109"/>
        <v>Відділ реєстрації Новокаховської міської ради</v>
      </c>
      <c r="G609" s="1" t="str">
        <f t="shared" si="110"/>
        <v>1</v>
      </c>
      <c r="H609" s="1" t="str">
        <f>"Результат"</f>
        <v>Результат</v>
      </c>
      <c r="I609" s="1" t="str">
        <f t="shared" si="107"/>
        <v>Позитивний</v>
      </c>
      <c r="J609" s="1" t="str">
        <f t="shared" si="111"/>
        <v>Так</v>
      </c>
    </row>
    <row r="610" spans="1:10" ht="45" x14ac:dyDescent="0.25">
      <c r="A610" s="1" t="str">
        <f>"614-2020/27"</f>
        <v>614-2020/27</v>
      </c>
      <c r="B610" s="1" t="str">
        <f t="shared" si="103"/>
        <v>28.01.2020</v>
      </c>
      <c r="C610" s="1" t="str">
        <f t="shared" si="112"/>
        <v>Закрито</v>
      </c>
      <c r="D610" s="1" t="str">
        <f>"Зняття з реєстрації місця проживання"</f>
        <v>Зняття з реєстрації місця проживання</v>
      </c>
      <c r="E610" s="1" t="str">
        <f t="shared" si="108"/>
        <v>Реєстрація місця проживання</v>
      </c>
      <c r="F610" s="1" t="str">
        <f t="shared" si="109"/>
        <v>Відділ реєстрації Новокаховської міської ради</v>
      </c>
      <c r="G610" s="1" t="str">
        <f t="shared" si="110"/>
        <v>1</v>
      </c>
      <c r="H610" s="1" t="str">
        <f>"Результат"</f>
        <v>Результат</v>
      </c>
      <c r="I610" s="1" t="str">
        <f t="shared" si="107"/>
        <v>Позитивний</v>
      </c>
      <c r="J610" s="1" t="str">
        <f t="shared" si="111"/>
        <v>Так</v>
      </c>
    </row>
    <row r="611" spans="1:10" ht="135" x14ac:dyDescent="0.25">
      <c r="A611" s="1" t="str">
        <f>"593-2020/27"</f>
        <v>593-2020/27</v>
      </c>
      <c r="B611" s="1" t="str">
        <f t="shared" si="103"/>
        <v>28.01.2020</v>
      </c>
      <c r="C611" s="1" t="str">
        <f t="shared" si="112"/>
        <v>Закрито</v>
      </c>
      <c r="D6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11" s="1" t="str">
        <f>"Земельні питання"</f>
        <v>Земельні питання</v>
      </c>
      <c r="F6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11" s="1" t="str">
        <f>"3"</f>
        <v>3</v>
      </c>
      <c r="H611" s="1" t="str">
        <f>"Результат"</f>
        <v>Результат</v>
      </c>
      <c r="I611" s="1" t="str">
        <f t="shared" si="107"/>
        <v>Позитивний</v>
      </c>
      <c r="J611" s="1" t="str">
        <f>"Ні"</f>
        <v>Ні</v>
      </c>
    </row>
    <row r="612" spans="1:10" ht="45" x14ac:dyDescent="0.25">
      <c r="A612" s="1" t="str">
        <f>"595-2020/27"</f>
        <v>595-2020/27</v>
      </c>
      <c r="B612" s="1" t="str">
        <f t="shared" si="103"/>
        <v>28.01.2020</v>
      </c>
      <c r="C612" s="1" t="str">
        <f t="shared" si="112"/>
        <v>Закрито</v>
      </c>
      <c r="D612" s="1" t="str">
        <f>"Реєстрація місця проживання особи"</f>
        <v>Реєстрація місця проживання особи</v>
      </c>
      <c r="E612" s="1" t="str">
        <f>"Реєстрація місця проживання"</f>
        <v>Реєстрація місця проживання</v>
      </c>
      <c r="F612" s="1" t="str">
        <f>"Відділ реєстрації Новокаховської міської ради"</f>
        <v>Відділ реєстрації Новокаховської міської ради</v>
      </c>
      <c r="G612" s="1" t="str">
        <f>"1"</f>
        <v>1</v>
      </c>
      <c r="H612" s="1" t="str">
        <f>"Результат"</f>
        <v>Результат</v>
      </c>
      <c r="I612" s="1" t="str">
        <f t="shared" si="107"/>
        <v>Позитивний</v>
      </c>
      <c r="J612" s="1" t="str">
        <f>"Так"</f>
        <v>Так</v>
      </c>
    </row>
    <row r="613" spans="1:10" ht="45" x14ac:dyDescent="0.25">
      <c r="A613" s="1" t="str">
        <f>"603-2020/27"</f>
        <v>603-2020/27</v>
      </c>
      <c r="B613" s="1" t="str">
        <f t="shared" si="103"/>
        <v>28.01.2020</v>
      </c>
      <c r="C613" s="1" t="str">
        <f t="shared" si="112"/>
        <v>Закрито</v>
      </c>
      <c r="D613" s="1" t="str">
        <f>"Реєстрація місця проживання особи"</f>
        <v>Реєстрація місця проживання особи</v>
      </c>
      <c r="E613" s="1" t="str">
        <f>"Реєстрація місця проживання"</f>
        <v>Реєстрація місця проживання</v>
      </c>
      <c r="F613" s="1" t="str">
        <f>"Відділ реєстрації Новокаховської міської ради"</f>
        <v>Відділ реєстрації Новокаховської міської ради</v>
      </c>
      <c r="G613" s="1" t="str">
        <f>"1"</f>
        <v>1</v>
      </c>
      <c r="H613" s="1" t="str">
        <f>"Результат"</f>
        <v>Результат</v>
      </c>
      <c r="I613" s="1" t="str">
        <f t="shared" si="107"/>
        <v>Позитивний</v>
      </c>
      <c r="J613" s="1" t="str">
        <f>"Так"</f>
        <v>Так</v>
      </c>
    </row>
    <row r="614" spans="1:10" ht="135" x14ac:dyDescent="0.25">
      <c r="A614" s="1" t="str">
        <f>"613-2020/27"</f>
        <v>613-2020/27</v>
      </c>
      <c r="B614" s="1" t="str">
        <f t="shared" si="103"/>
        <v>28.01.2020</v>
      </c>
      <c r="C614" s="1" t="str">
        <f t="shared" si="112"/>
        <v>Закрито</v>
      </c>
      <c r="D61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14" s="1" t="str">
        <f>"Земельні питання"</f>
        <v>Земельні питання</v>
      </c>
      <c r="F6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14" s="1" t="str">
        <f>"3"</f>
        <v>3</v>
      </c>
      <c r="H614" s="1" t="str">
        <f>"Результат"</f>
        <v>Результат</v>
      </c>
      <c r="I614" s="1" t="str">
        <f t="shared" si="107"/>
        <v>Позитивний</v>
      </c>
      <c r="J614" s="1" t="str">
        <f>"Ні"</f>
        <v>Ні</v>
      </c>
    </row>
    <row r="615" spans="1:10" ht="45" x14ac:dyDescent="0.25">
      <c r="A615" s="1" t="str">
        <f>"600-2020/27"</f>
        <v>600-2020/27</v>
      </c>
      <c r="B615" s="1" t="str">
        <f t="shared" si="103"/>
        <v>28.01.2020</v>
      </c>
      <c r="C615" s="1" t="str">
        <f t="shared" si="112"/>
        <v>Закрито</v>
      </c>
      <c r="D615" s="1" t="str">
        <f>"Реєстрація місця проживання особи"</f>
        <v>Реєстрація місця проживання особи</v>
      </c>
      <c r="E615" s="1" t="str">
        <f>"Реєстрація місця проживання"</f>
        <v>Реєстрація місця проживання</v>
      </c>
      <c r="F615" s="1" t="str">
        <f>"Відділ реєстрації Новокаховської міської ради"</f>
        <v>Відділ реєстрації Новокаховської міської ради</v>
      </c>
      <c r="G615" s="1" t="str">
        <f>"1"</f>
        <v>1</v>
      </c>
      <c r="H615" s="1" t="str">
        <f>"Результат"</f>
        <v>Результат</v>
      </c>
      <c r="I615" s="1" t="str">
        <f t="shared" si="107"/>
        <v>Позитивний</v>
      </c>
      <c r="J615" s="1" t="str">
        <f>"Ні"</f>
        <v>Ні</v>
      </c>
    </row>
    <row r="616" spans="1:10" ht="90" x14ac:dyDescent="0.25">
      <c r="A616" s="1" t="str">
        <f>"604-2020/27"</f>
        <v>604-2020/27</v>
      </c>
      <c r="B616" s="1" t="str">
        <f t="shared" si="103"/>
        <v>28.01.2020</v>
      </c>
      <c r="C616" s="1" t="str">
        <f t="shared" si="112"/>
        <v>Закрито</v>
      </c>
      <c r="D61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16" s="1" t="str">
        <f>"Інші послуги"</f>
        <v>Інші послуги</v>
      </c>
      <c r="F61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16" s="1" t="str">
        <f>"5"</f>
        <v>5</v>
      </c>
      <c r="H616" s="1" t="str">
        <f>"Результат"</f>
        <v>Результат</v>
      </c>
      <c r="I616" s="1" t="str">
        <f t="shared" si="107"/>
        <v>Позитивний</v>
      </c>
      <c r="J616" s="1" t="str">
        <f>"Ні"</f>
        <v>Ні</v>
      </c>
    </row>
    <row r="617" spans="1:10" ht="135" x14ac:dyDescent="0.25">
      <c r="A617" s="1" t="str">
        <f>"602-2020/27"</f>
        <v>602-2020/27</v>
      </c>
      <c r="B617" s="1" t="str">
        <f t="shared" si="103"/>
        <v>28.01.2020</v>
      </c>
      <c r="C617" s="1" t="str">
        <f t="shared" si="112"/>
        <v>Закрито</v>
      </c>
      <c r="D61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17" s="1" t="str">
        <f>"Земельні питання"</f>
        <v>Земельні питання</v>
      </c>
      <c r="F6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17" s="1" t="str">
        <f>"1"</f>
        <v>1</v>
      </c>
      <c r="H617" s="1" t="str">
        <f>"Результат"</f>
        <v>Результат</v>
      </c>
      <c r="I617" s="1" t="str">
        <f t="shared" si="107"/>
        <v>Позитивний</v>
      </c>
      <c r="J617" s="1" t="str">
        <f>"Так"</f>
        <v>Так</v>
      </c>
    </row>
    <row r="618" spans="1:10" ht="135" x14ac:dyDescent="0.25">
      <c r="A618" s="1" t="str">
        <f>"592-2020/27"</f>
        <v>592-2020/27</v>
      </c>
      <c r="B618" s="1" t="str">
        <f t="shared" si="103"/>
        <v>28.01.2020</v>
      </c>
      <c r="C618" s="1" t="str">
        <f t="shared" si="112"/>
        <v>Закрито</v>
      </c>
      <c r="D61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18" s="1" t="str">
        <f>"Земельні питання"</f>
        <v>Земельні питання</v>
      </c>
      <c r="F6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18" s="1" t="str">
        <f>"3"</f>
        <v>3</v>
      </c>
      <c r="H618" s="1" t="str">
        <f>"Результат"</f>
        <v>Результат</v>
      </c>
      <c r="I618" s="1" t="str">
        <f t="shared" si="107"/>
        <v>Позитивний</v>
      </c>
      <c r="J618" s="1" t="str">
        <f>"Ні"</f>
        <v>Ні</v>
      </c>
    </row>
    <row r="619" spans="1:10" ht="135" x14ac:dyDescent="0.25">
      <c r="A619" s="1" t="str">
        <f>"588-2020/27"</f>
        <v>588-2020/27</v>
      </c>
      <c r="B619" s="1" t="str">
        <f t="shared" si="103"/>
        <v>28.01.2020</v>
      </c>
      <c r="C619" s="1" t="str">
        <f t="shared" si="112"/>
        <v>Закрито</v>
      </c>
      <c r="D61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19" s="1" t="str">
        <f>"Земельні питання"</f>
        <v>Земельні питання</v>
      </c>
      <c r="F6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19" s="1" t="str">
        <f>"3"</f>
        <v>3</v>
      </c>
      <c r="H619" s="1" t="str">
        <f>"Результат"</f>
        <v>Результат</v>
      </c>
      <c r="I619" s="1" t="str">
        <f t="shared" si="107"/>
        <v>Позитивний</v>
      </c>
      <c r="J619" s="1" t="str">
        <f>"Ні"</f>
        <v>Ні</v>
      </c>
    </row>
    <row r="620" spans="1:10" ht="135" x14ac:dyDescent="0.25">
      <c r="A620" s="1" t="str">
        <f>"637-2020/27"</f>
        <v>637-2020/27</v>
      </c>
      <c r="B620" s="1" t="str">
        <f t="shared" ref="B620:B659" si="113">"29.01.2020"</f>
        <v>29.01.2020</v>
      </c>
      <c r="C620" s="1" t="str">
        <f t="shared" si="112"/>
        <v>Закрито</v>
      </c>
      <c r="D62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20" s="1" t="str">
        <f>"Земельні питання"</f>
        <v>Земельні питання</v>
      </c>
      <c r="F6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0" s="1" t="str">
        <f>"1"</f>
        <v>1</v>
      </c>
      <c r="H620" s="1" t="str">
        <f>"Результат"</f>
        <v>Результат</v>
      </c>
      <c r="I620" s="1" t="str">
        <f>"Мотивована відмова"</f>
        <v>Мотивована відмова</v>
      </c>
      <c r="J620" s="1" t="str">
        <f>"Так"</f>
        <v>Так</v>
      </c>
    </row>
    <row r="621" spans="1:10" ht="90" x14ac:dyDescent="0.25">
      <c r="A621" s="1" t="str">
        <f>"617-2020/27"</f>
        <v>617-2020/27</v>
      </c>
      <c r="B621" s="1" t="str">
        <f t="shared" si="113"/>
        <v>29.01.2020</v>
      </c>
      <c r="C621" s="1" t="str">
        <f t="shared" si="112"/>
        <v>Закрито</v>
      </c>
      <c r="D62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21" s="1" t="str">
        <f>"Інші послуги"</f>
        <v>Інші послуги</v>
      </c>
      <c r="F62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21" s="1" t="str">
        <f>"5"</f>
        <v>5</v>
      </c>
      <c r="H621" s="1" t="str">
        <f>"Результат"</f>
        <v>Результат</v>
      </c>
      <c r="I621" s="1" t="str">
        <f>"Позитивний"</f>
        <v>Позитивний</v>
      </c>
      <c r="J621" s="1" t="str">
        <f>"Ні"</f>
        <v>Ні</v>
      </c>
    </row>
    <row r="622" spans="1:10" ht="135" x14ac:dyDescent="0.25">
      <c r="A622" s="1" t="str">
        <f>"647-2020/27"</f>
        <v>647-2020/27</v>
      </c>
      <c r="B622" s="1" t="str">
        <f t="shared" si="113"/>
        <v>29.01.2020</v>
      </c>
      <c r="C622" s="1" t="str">
        <f t="shared" si="112"/>
        <v>Закрито</v>
      </c>
      <c r="D622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22" s="1" t="str">
        <f>"Земельні питання"</f>
        <v>Земельні питання</v>
      </c>
      <c r="F6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2" s="1" t="str">
        <f>"10"</f>
        <v>10</v>
      </c>
      <c r="H622" s="1" t="str">
        <f>"Результат"</f>
        <v>Результат</v>
      </c>
      <c r="I622" s="1" t="str">
        <f>"Позитивний"</f>
        <v>Позитивний</v>
      </c>
      <c r="J622" s="1" t="str">
        <f>"Ні"</f>
        <v>Ні</v>
      </c>
    </row>
    <row r="623" spans="1:10" ht="135" x14ac:dyDescent="0.25">
      <c r="A623" s="1" t="str">
        <f>"615-2020/27"</f>
        <v>615-2020/27</v>
      </c>
      <c r="B623" s="1" t="str">
        <f t="shared" si="113"/>
        <v>29.01.2020</v>
      </c>
      <c r="C623" s="1" t="str">
        <f t="shared" si="112"/>
        <v>Закрито</v>
      </c>
      <c r="D62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623" s="1" t="str">
        <f>"Земельні питання"</f>
        <v>Земельні питання</v>
      </c>
      <c r="F6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3" s="1" t="str">
        <f>"14"</f>
        <v>14</v>
      </c>
      <c r="H623" s="1" t="str">
        <f>"Результат"</f>
        <v>Результат</v>
      </c>
      <c r="I623" s="1" t="str">
        <f>"Мотивована відмова"</f>
        <v>Мотивована відмова</v>
      </c>
      <c r="J623" s="1" t="str">
        <f>"Ні"</f>
        <v>Ні</v>
      </c>
    </row>
    <row r="624" spans="1:10" ht="45" x14ac:dyDescent="0.25">
      <c r="A624" s="1" t="str">
        <f>"621-2020/27"</f>
        <v>621-2020/27</v>
      </c>
      <c r="B624" s="1" t="str">
        <f t="shared" si="113"/>
        <v>29.01.2020</v>
      </c>
      <c r="C624" s="1" t="str">
        <f t="shared" si="112"/>
        <v>Закрито</v>
      </c>
      <c r="D624" s="1" t="str">
        <f>"Зняття з реєстрації місця проживання"</f>
        <v>Зняття з реєстрації місця проживання</v>
      </c>
      <c r="E624" s="1" t="str">
        <f>"Реєстрація місця проживання"</f>
        <v>Реєстрація місця проживання</v>
      </c>
      <c r="F624" s="1" t="str">
        <f>"Відділ реєстрації Новокаховської міської ради"</f>
        <v>Відділ реєстрації Новокаховської міської ради</v>
      </c>
      <c r="G624" s="1" t="str">
        <f>"1"</f>
        <v>1</v>
      </c>
      <c r="H624" s="1" t="str">
        <f>"Результат"</f>
        <v>Результат</v>
      </c>
      <c r="I624" s="1" t="str">
        <f t="shared" ref="I624:I637" si="114">"Позитивний"</f>
        <v>Позитивний</v>
      </c>
      <c r="J624" s="1" t="str">
        <f>"Так"</f>
        <v>Так</v>
      </c>
    </row>
    <row r="625" spans="1:10" ht="135" x14ac:dyDescent="0.25">
      <c r="A625" s="1" t="str">
        <f>"653-2020/27"</f>
        <v>653-2020/27</v>
      </c>
      <c r="B625" s="1" t="str">
        <f t="shared" si="113"/>
        <v>29.01.2020</v>
      </c>
      <c r="C625" s="1" t="str">
        <f t="shared" si="112"/>
        <v>Закрито</v>
      </c>
      <c r="D625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25" s="1" t="str">
        <f t="shared" ref="E625:E630" si="115">"Земельні питання"</f>
        <v>Земельні питання</v>
      </c>
      <c r="F625" s="1" t="str">
        <f t="shared" ref="F625:F630" si="116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5" s="1" t="str">
        <f>"10"</f>
        <v>10</v>
      </c>
      <c r="H625" s="1" t="str">
        <f>"Результат"</f>
        <v>Результат</v>
      </c>
      <c r="I625" s="1" t="str">
        <f t="shared" si="114"/>
        <v>Позитивний</v>
      </c>
      <c r="J625" s="1" t="str">
        <f t="shared" ref="J625:J631" si="117">"Ні"</f>
        <v>Ні</v>
      </c>
    </row>
    <row r="626" spans="1:10" ht="135" x14ac:dyDescent="0.25">
      <c r="A626" s="1" t="str">
        <f>"654-2020/27"</f>
        <v>654-2020/27</v>
      </c>
      <c r="B626" s="1" t="str">
        <f t="shared" si="113"/>
        <v>29.01.2020</v>
      </c>
      <c r="C626" s="1" t="str">
        <f t="shared" si="112"/>
        <v>Закрито</v>
      </c>
      <c r="D626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26" s="1" t="str">
        <f t="shared" si="115"/>
        <v>Земельні питання</v>
      </c>
      <c r="F626" s="1" t="str">
        <f t="shared" si="11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6" s="1" t="str">
        <f>"10"</f>
        <v>10</v>
      </c>
      <c r="H626" s="1" t="str">
        <f>"Результат"</f>
        <v>Результат</v>
      </c>
      <c r="I626" s="1" t="str">
        <f t="shared" si="114"/>
        <v>Позитивний</v>
      </c>
      <c r="J626" s="1" t="str">
        <f t="shared" si="117"/>
        <v>Ні</v>
      </c>
    </row>
    <row r="627" spans="1:10" ht="135" x14ac:dyDescent="0.25">
      <c r="A627" s="1" t="str">
        <f>"649-2020/27"</f>
        <v>649-2020/27</v>
      </c>
      <c r="B627" s="1" t="str">
        <f t="shared" si="113"/>
        <v>29.01.2020</v>
      </c>
      <c r="C627" s="1" t="str">
        <f t="shared" si="112"/>
        <v>Закрито</v>
      </c>
      <c r="D627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27" s="1" t="str">
        <f t="shared" si="115"/>
        <v>Земельні питання</v>
      </c>
      <c r="F627" s="1" t="str">
        <f t="shared" si="11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7" s="1" t="str">
        <f>"10"</f>
        <v>10</v>
      </c>
      <c r="H627" s="1" t="str">
        <f>"Результат"</f>
        <v>Результат</v>
      </c>
      <c r="I627" s="1" t="str">
        <f t="shared" si="114"/>
        <v>Позитивний</v>
      </c>
      <c r="J627" s="1" t="str">
        <f t="shared" si="117"/>
        <v>Ні</v>
      </c>
    </row>
    <row r="628" spans="1:10" ht="135" x14ac:dyDescent="0.25">
      <c r="A628" s="1" t="str">
        <f>"616-2020/27"</f>
        <v>616-2020/27</v>
      </c>
      <c r="B628" s="1" t="str">
        <f t="shared" si="113"/>
        <v>29.01.2020</v>
      </c>
      <c r="C628" s="1" t="str">
        <f t="shared" si="112"/>
        <v>Закрито</v>
      </c>
      <c r="D628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628" s="1" t="str">
        <f t="shared" si="115"/>
        <v>Земельні питання</v>
      </c>
      <c r="F628" s="1" t="str">
        <f t="shared" si="11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8" s="1" t="str">
        <f>"14"</f>
        <v>14</v>
      </c>
      <c r="H628" s="1" t="str">
        <f>"Результат"</f>
        <v>Результат</v>
      </c>
      <c r="I628" s="1" t="str">
        <f t="shared" si="114"/>
        <v>Позитивний</v>
      </c>
      <c r="J628" s="1" t="str">
        <f t="shared" si="117"/>
        <v>Ні</v>
      </c>
    </row>
    <row r="629" spans="1:10" ht="135" x14ac:dyDescent="0.25">
      <c r="A629" s="1" t="str">
        <f>"651-2020/27"</f>
        <v>651-2020/27</v>
      </c>
      <c r="B629" s="1" t="str">
        <f t="shared" si="113"/>
        <v>29.01.2020</v>
      </c>
      <c r="C629" s="1" t="str">
        <f t="shared" si="112"/>
        <v>Закрито</v>
      </c>
      <c r="D629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29" s="1" t="str">
        <f t="shared" si="115"/>
        <v>Земельні питання</v>
      </c>
      <c r="F629" s="1" t="str">
        <f t="shared" si="11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29" s="1" t="str">
        <f>"10"</f>
        <v>10</v>
      </c>
      <c r="H629" s="1" t="str">
        <f>"Результат"</f>
        <v>Результат</v>
      </c>
      <c r="I629" s="1" t="str">
        <f t="shared" si="114"/>
        <v>Позитивний</v>
      </c>
      <c r="J629" s="1" t="str">
        <f t="shared" si="117"/>
        <v>Ні</v>
      </c>
    </row>
    <row r="630" spans="1:10" ht="135" x14ac:dyDescent="0.25">
      <c r="A630" s="1" t="str">
        <f>"627-2020/27"</f>
        <v>627-2020/27</v>
      </c>
      <c r="B630" s="1" t="str">
        <f t="shared" si="113"/>
        <v>29.01.2020</v>
      </c>
      <c r="C630" s="1" t="str">
        <f t="shared" si="112"/>
        <v>Закрито</v>
      </c>
      <c r="D63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30" s="1" t="str">
        <f t="shared" si="115"/>
        <v>Земельні питання</v>
      </c>
      <c r="F630" s="1" t="str">
        <f t="shared" si="11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30" s="1" t="str">
        <f>"3"</f>
        <v>3</v>
      </c>
      <c r="H630" s="1" t="str">
        <f>"Результат"</f>
        <v>Результат</v>
      </c>
      <c r="I630" s="1" t="str">
        <f t="shared" si="114"/>
        <v>Позитивний</v>
      </c>
      <c r="J630" s="1" t="str">
        <f t="shared" si="117"/>
        <v>Ні</v>
      </c>
    </row>
    <row r="631" spans="1:10" ht="90" x14ac:dyDescent="0.25">
      <c r="A631" s="1" t="str">
        <f>"644-2020/27"</f>
        <v>644-2020/27</v>
      </c>
      <c r="B631" s="1" t="str">
        <f t="shared" si="113"/>
        <v>29.01.2020</v>
      </c>
      <c r="C631" s="1" t="str">
        <f t="shared" si="112"/>
        <v>Закрито</v>
      </c>
      <c r="D63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31" s="1" t="str">
        <f>"Інші послуги"</f>
        <v>Інші послуги</v>
      </c>
      <c r="F63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31" s="1" t="str">
        <f>"5"</f>
        <v>5</v>
      </c>
      <c r="H631" s="1" t="str">
        <f>"Результат"</f>
        <v>Результат</v>
      </c>
      <c r="I631" s="1" t="str">
        <f t="shared" si="114"/>
        <v>Позитивний</v>
      </c>
      <c r="J631" s="1" t="str">
        <f t="shared" si="117"/>
        <v>Ні</v>
      </c>
    </row>
    <row r="632" spans="1:10" ht="45" x14ac:dyDescent="0.25">
      <c r="A632" s="1" t="str">
        <f>"641-2020/27"</f>
        <v>641-2020/27</v>
      </c>
      <c r="B632" s="1" t="str">
        <f t="shared" si="113"/>
        <v>29.01.2020</v>
      </c>
      <c r="C632" s="1" t="str">
        <f t="shared" si="112"/>
        <v>Закрито</v>
      </c>
      <c r="D632" s="1" t="str">
        <f>"Реєстрація місця проживання особи"</f>
        <v>Реєстрація місця проживання особи</v>
      </c>
      <c r="E632" s="1" t="str">
        <f>"Реєстрація місця проживання"</f>
        <v>Реєстрація місця проживання</v>
      </c>
      <c r="F632" s="1" t="str">
        <f>"Відділ реєстрації Новокаховської міської ради"</f>
        <v>Відділ реєстрації Новокаховської міської ради</v>
      </c>
      <c r="G632" s="1" t="str">
        <f>"1"</f>
        <v>1</v>
      </c>
      <c r="H632" s="1" t="str">
        <f>"Результат"</f>
        <v>Результат</v>
      </c>
      <c r="I632" s="1" t="str">
        <f t="shared" si="114"/>
        <v>Позитивний</v>
      </c>
      <c r="J632" s="1" t="str">
        <f>"Так"</f>
        <v>Так</v>
      </c>
    </row>
    <row r="633" spans="1:10" ht="135" x14ac:dyDescent="0.25">
      <c r="A633" s="1" t="str">
        <f>"631-2020/27"</f>
        <v>631-2020/27</v>
      </c>
      <c r="B633" s="1" t="str">
        <f t="shared" si="113"/>
        <v>29.01.2020</v>
      </c>
      <c r="C633" s="1" t="str">
        <f t="shared" si="112"/>
        <v>Закрито</v>
      </c>
      <c r="D63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33" s="1" t="str">
        <f>"Земельні питання"</f>
        <v>Земельні питання</v>
      </c>
      <c r="F6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33" s="1" t="str">
        <f>"3"</f>
        <v>3</v>
      </c>
      <c r="H633" s="1" t="str">
        <f>"Результат"</f>
        <v>Результат</v>
      </c>
      <c r="I633" s="1" t="str">
        <f t="shared" si="114"/>
        <v>Позитивний</v>
      </c>
      <c r="J633" s="1" t="str">
        <f>"Ні"</f>
        <v>Ні</v>
      </c>
    </row>
    <row r="634" spans="1:10" ht="45" x14ac:dyDescent="0.25">
      <c r="A634" s="1" t="str">
        <f>"620-2020/27"</f>
        <v>620-2020/27</v>
      </c>
      <c r="B634" s="1" t="str">
        <f t="shared" si="113"/>
        <v>29.01.2020</v>
      </c>
      <c r="C634" s="1" t="str">
        <f t="shared" si="112"/>
        <v>Закрито</v>
      </c>
      <c r="D634" s="1" t="str">
        <f>"Зняття з реєстрації місця проживання"</f>
        <v>Зняття з реєстрації місця проживання</v>
      </c>
      <c r="E634" s="1" t="str">
        <f>"Реєстрація місця проживання"</f>
        <v>Реєстрація місця проживання</v>
      </c>
      <c r="F634" s="1" t="str">
        <f>"Відділ реєстрації Новокаховської міської ради"</f>
        <v>Відділ реєстрації Новокаховської міської ради</v>
      </c>
      <c r="G634" s="1" t="str">
        <f>"1"</f>
        <v>1</v>
      </c>
      <c r="H634" s="1" t="str">
        <f>"Результат"</f>
        <v>Результат</v>
      </c>
      <c r="I634" s="1" t="str">
        <f t="shared" si="114"/>
        <v>Позитивний</v>
      </c>
      <c r="J634" s="1" t="str">
        <f>"Так"</f>
        <v>Так</v>
      </c>
    </row>
    <row r="635" spans="1:10" ht="135" x14ac:dyDescent="0.25">
      <c r="A635" s="1" t="str">
        <f>"650-2020/27"</f>
        <v>650-2020/27</v>
      </c>
      <c r="B635" s="1" t="str">
        <f t="shared" si="113"/>
        <v>29.01.2020</v>
      </c>
      <c r="C635" s="1" t="str">
        <f t="shared" si="112"/>
        <v>Закрито</v>
      </c>
      <c r="D635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35" s="1" t="str">
        <f>"Земельні питання"</f>
        <v>Земельні питання</v>
      </c>
      <c r="F6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35" s="1" t="str">
        <f>"10"</f>
        <v>10</v>
      </c>
      <c r="H635" s="1" t="str">
        <f>"Результат"</f>
        <v>Результат</v>
      </c>
      <c r="I635" s="1" t="str">
        <f t="shared" si="114"/>
        <v>Позитивний</v>
      </c>
      <c r="J635" s="1" t="str">
        <f>"Ні"</f>
        <v>Ні</v>
      </c>
    </row>
    <row r="636" spans="1:10" ht="45" x14ac:dyDescent="0.25">
      <c r="A636" s="1" t="str">
        <f>"643-2020/27"</f>
        <v>643-2020/27</v>
      </c>
      <c r="B636" s="1" t="str">
        <f t="shared" si="113"/>
        <v>29.01.2020</v>
      </c>
      <c r="C636" s="1" t="str">
        <f t="shared" si="112"/>
        <v>Закрито</v>
      </c>
      <c r="D636" s="1" t="str">
        <f>"Зняття з реєстрації місця проживання"</f>
        <v>Зняття з реєстрації місця проживання</v>
      </c>
      <c r="E636" s="1" t="str">
        <f>"Реєстрація місця проживання"</f>
        <v>Реєстрація місця проживання</v>
      </c>
      <c r="F636" s="1" t="str">
        <f>"Відділ реєстрації Новокаховської міської ради"</f>
        <v>Відділ реєстрації Новокаховської міської ради</v>
      </c>
      <c r="G636" s="1" t="str">
        <f>"1"</f>
        <v>1</v>
      </c>
      <c r="H636" s="1" t="str">
        <f>"Результат"</f>
        <v>Результат</v>
      </c>
      <c r="I636" s="1" t="str">
        <f t="shared" si="114"/>
        <v>Позитивний</v>
      </c>
      <c r="J636" s="1" t="str">
        <f>"Так"</f>
        <v>Так</v>
      </c>
    </row>
    <row r="637" spans="1:10" ht="45" x14ac:dyDescent="0.25">
      <c r="A637" s="1" t="str">
        <f>"642-2020/27"</f>
        <v>642-2020/27</v>
      </c>
      <c r="B637" s="1" t="str">
        <f t="shared" si="113"/>
        <v>29.01.2020</v>
      </c>
      <c r="C637" s="1" t="str">
        <f t="shared" si="112"/>
        <v>Закрито</v>
      </c>
      <c r="D637" s="1" t="str">
        <f>"Реєстрація місця проживання особи"</f>
        <v>Реєстрація місця проживання особи</v>
      </c>
      <c r="E637" s="1" t="str">
        <f>"Реєстрація місця проживання"</f>
        <v>Реєстрація місця проживання</v>
      </c>
      <c r="F637" s="1" t="str">
        <f>"Відділ реєстрації Новокаховської міської ради"</f>
        <v>Відділ реєстрації Новокаховської міської ради</v>
      </c>
      <c r="G637" s="1" t="str">
        <f>"1"</f>
        <v>1</v>
      </c>
      <c r="H637" s="1" t="str">
        <f>"Результат"</f>
        <v>Результат</v>
      </c>
      <c r="I637" s="1" t="str">
        <f t="shared" si="114"/>
        <v>Позитивний</v>
      </c>
      <c r="J637" s="1" t="str">
        <f>"Так"</f>
        <v>Так</v>
      </c>
    </row>
    <row r="638" spans="1:10" ht="135" x14ac:dyDescent="0.25">
      <c r="A638" s="1" t="str">
        <f>"629-2020/27"</f>
        <v>629-2020/27</v>
      </c>
      <c r="B638" s="1" t="str">
        <f t="shared" si="113"/>
        <v>29.01.2020</v>
      </c>
      <c r="C638" s="1" t="str">
        <f t="shared" si="112"/>
        <v>Закрито</v>
      </c>
      <c r="D63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38" s="1" t="str">
        <f>"Земельні питання"</f>
        <v>Земельні питання</v>
      </c>
      <c r="F6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38" s="1" t="str">
        <f>"3"</f>
        <v>3</v>
      </c>
      <c r="H638" s="1" t="str">
        <f>"Результат"</f>
        <v>Результат</v>
      </c>
      <c r="I638" s="1" t="str">
        <f>"Мотивована відмова"</f>
        <v>Мотивована відмова</v>
      </c>
      <c r="J638" s="1" t="str">
        <f>"Ні"</f>
        <v>Ні</v>
      </c>
    </row>
    <row r="639" spans="1:10" ht="45" x14ac:dyDescent="0.25">
      <c r="A639" s="1" t="str">
        <f>"619-2020/27"</f>
        <v>619-2020/27</v>
      </c>
      <c r="B639" s="1" t="str">
        <f t="shared" si="113"/>
        <v>29.01.2020</v>
      </c>
      <c r="C639" s="1" t="str">
        <f t="shared" si="112"/>
        <v>Закрито</v>
      </c>
      <c r="D639" s="1" t="str">
        <f>"Зняття з реєстрації місця проживання"</f>
        <v>Зняття з реєстрації місця проживання</v>
      </c>
      <c r="E639" s="1" t="str">
        <f>"Реєстрація місця проживання"</f>
        <v>Реєстрація місця проживання</v>
      </c>
      <c r="F639" s="1" t="str">
        <f>"Відділ реєстрації Новокаховської міської ради"</f>
        <v>Відділ реєстрації Новокаховської міської ради</v>
      </c>
      <c r="G639" s="1" t="str">
        <f>"1"</f>
        <v>1</v>
      </c>
      <c r="H639" s="1" t="str">
        <f>"Результат"</f>
        <v>Результат</v>
      </c>
      <c r="I639" s="1" t="str">
        <f t="shared" ref="I639:I655" si="118">"Позитивний"</f>
        <v>Позитивний</v>
      </c>
      <c r="J639" s="1" t="str">
        <f>"Так"</f>
        <v>Так</v>
      </c>
    </row>
    <row r="640" spans="1:10" ht="90" x14ac:dyDescent="0.25">
      <c r="A640" s="1" t="str">
        <f>"645-2020/27"</f>
        <v>645-2020/27</v>
      </c>
      <c r="B640" s="1" t="str">
        <f t="shared" si="113"/>
        <v>29.01.2020</v>
      </c>
      <c r="C640" s="1" t="str">
        <f t="shared" si="112"/>
        <v>Закрито</v>
      </c>
      <c r="D64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40" s="1" t="str">
        <f>"Інші послуги"</f>
        <v>Інші послуги</v>
      </c>
      <c r="F64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40" s="1" t="str">
        <f>"5"</f>
        <v>5</v>
      </c>
      <c r="H640" s="1" t="str">
        <f>"Результат"</f>
        <v>Результат</v>
      </c>
      <c r="I640" s="1" t="str">
        <f t="shared" si="118"/>
        <v>Позитивний</v>
      </c>
      <c r="J640" s="1" t="str">
        <f>"Ні"</f>
        <v>Ні</v>
      </c>
    </row>
    <row r="641" spans="1:10" ht="135" x14ac:dyDescent="0.25">
      <c r="A641" s="1" t="str">
        <f>"652-2020/27"</f>
        <v>652-2020/27</v>
      </c>
      <c r="B641" s="1" t="str">
        <f t="shared" si="113"/>
        <v>29.01.2020</v>
      </c>
      <c r="C641" s="1" t="str">
        <f t="shared" si="112"/>
        <v>Закрито</v>
      </c>
      <c r="D641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41" s="1" t="str">
        <f>"Земельні питання"</f>
        <v>Земельні питання</v>
      </c>
      <c r="F6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41" s="1" t="str">
        <f>"10"</f>
        <v>10</v>
      </c>
      <c r="H641" s="1" t="str">
        <f>"Результат"</f>
        <v>Результат</v>
      </c>
      <c r="I641" s="1" t="str">
        <f t="shared" si="118"/>
        <v>Позитивний</v>
      </c>
      <c r="J641" s="1" t="str">
        <f>"Ні"</f>
        <v>Ні</v>
      </c>
    </row>
    <row r="642" spans="1:10" ht="45" x14ac:dyDescent="0.25">
      <c r="A642" s="1" t="str">
        <f>"638-2020/27"</f>
        <v>638-2020/27</v>
      </c>
      <c r="B642" s="1" t="str">
        <f t="shared" si="113"/>
        <v>29.01.2020</v>
      </c>
      <c r="C642" s="1" t="str">
        <f t="shared" si="112"/>
        <v>Закрито</v>
      </c>
      <c r="D642" s="1" t="str">
        <f>"Зняття з реєстрації місця проживання"</f>
        <v>Зняття з реєстрації місця проживання</v>
      </c>
      <c r="E642" s="1" t="str">
        <f>"Реєстрація місця проживання"</f>
        <v>Реєстрація місця проживання</v>
      </c>
      <c r="F642" s="1" t="str">
        <f>"Відділ реєстрації Новокаховської міської ради"</f>
        <v>Відділ реєстрації Новокаховської міської ради</v>
      </c>
      <c r="G642" s="1" t="str">
        <f>"1"</f>
        <v>1</v>
      </c>
      <c r="H642" s="1" t="str">
        <f>"Результат"</f>
        <v>Результат</v>
      </c>
      <c r="I642" s="1" t="str">
        <f t="shared" si="118"/>
        <v>Позитивний</v>
      </c>
      <c r="J642" s="1" t="str">
        <f>"Так"</f>
        <v>Так</v>
      </c>
    </row>
    <row r="643" spans="1:10" ht="135" x14ac:dyDescent="0.25">
      <c r="A643" s="1" t="str">
        <f>"626-2020/27"</f>
        <v>626-2020/27</v>
      </c>
      <c r="B643" s="1" t="str">
        <f t="shared" si="113"/>
        <v>29.01.2020</v>
      </c>
      <c r="C643" s="1" t="str">
        <f t="shared" si="112"/>
        <v>Закрито</v>
      </c>
      <c r="D64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43" s="1" t="str">
        <f>"Земельні питання"</f>
        <v>Земельні питання</v>
      </c>
      <c r="F6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43" s="1" t="str">
        <f>"3"</f>
        <v>3</v>
      </c>
      <c r="H643" s="1" t="str">
        <f>"Результат"</f>
        <v>Результат</v>
      </c>
      <c r="I643" s="1" t="str">
        <f t="shared" si="118"/>
        <v>Позитивний</v>
      </c>
      <c r="J643" s="1" t="str">
        <f>"Ні"</f>
        <v>Ні</v>
      </c>
    </row>
    <row r="644" spans="1:10" ht="45" x14ac:dyDescent="0.25">
      <c r="A644" s="1" t="str">
        <f>"639-2020/27"</f>
        <v>639-2020/27</v>
      </c>
      <c r="B644" s="1" t="str">
        <f t="shared" si="113"/>
        <v>29.01.2020</v>
      </c>
      <c r="C644" s="1" t="str">
        <f t="shared" si="112"/>
        <v>Закрито</v>
      </c>
      <c r="D644" s="1" t="str">
        <f>"Реєстрація місця проживання особи"</f>
        <v>Реєстрація місця проживання особи</v>
      </c>
      <c r="E644" s="1" t="str">
        <f>"Реєстрація місця проживання"</f>
        <v>Реєстрація місця проживання</v>
      </c>
      <c r="F644" s="1" t="str">
        <f>"Відділ реєстрації Новокаховської міської ради"</f>
        <v>Відділ реєстрації Новокаховської міської ради</v>
      </c>
      <c r="G644" s="1" t="str">
        <f>"1"</f>
        <v>1</v>
      </c>
      <c r="H644" s="1" t="str">
        <f>"Результат"</f>
        <v>Результат</v>
      </c>
      <c r="I644" s="1" t="str">
        <f t="shared" si="118"/>
        <v>Позитивний</v>
      </c>
      <c r="J644" s="1" t="str">
        <f>"Так"</f>
        <v>Так</v>
      </c>
    </row>
    <row r="645" spans="1:10" ht="135" x14ac:dyDescent="0.25">
      <c r="A645" s="1" t="str">
        <f>"636-2020/27"</f>
        <v>636-2020/27</v>
      </c>
      <c r="B645" s="1" t="str">
        <f t="shared" si="113"/>
        <v>29.01.2020</v>
      </c>
      <c r="C645" s="1" t="str">
        <f t="shared" si="112"/>
        <v>Закрито</v>
      </c>
      <c r="D6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45" s="1" t="str">
        <f>"Земельні питання"</f>
        <v>Земельні питання</v>
      </c>
      <c r="F6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45" s="1" t="str">
        <f>"3"</f>
        <v>3</v>
      </c>
      <c r="H645" s="1" t="str">
        <f>"Результат"</f>
        <v>Результат</v>
      </c>
      <c r="I645" s="1" t="str">
        <f t="shared" si="118"/>
        <v>Позитивний</v>
      </c>
      <c r="J645" s="1" t="str">
        <f>"Ні"</f>
        <v>Ні</v>
      </c>
    </row>
    <row r="646" spans="1:10" ht="135" x14ac:dyDescent="0.25">
      <c r="A646" s="1" t="str">
        <f>"630-2020/27"</f>
        <v>630-2020/27</v>
      </c>
      <c r="B646" s="1" t="str">
        <f t="shared" si="113"/>
        <v>29.01.2020</v>
      </c>
      <c r="C646" s="1" t="str">
        <f t="shared" si="112"/>
        <v>Закрито</v>
      </c>
      <c r="D64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46" s="1" t="str">
        <f>"Земельні питання"</f>
        <v>Земельні питання</v>
      </c>
      <c r="F6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46" s="1" t="str">
        <f>"3"</f>
        <v>3</v>
      </c>
      <c r="H646" s="1" t="str">
        <f>"Результат"</f>
        <v>Результат</v>
      </c>
      <c r="I646" s="1" t="str">
        <f t="shared" si="118"/>
        <v>Позитивний</v>
      </c>
      <c r="J646" s="1" t="str">
        <f>"Ні"</f>
        <v>Ні</v>
      </c>
    </row>
    <row r="647" spans="1:10" ht="45" x14ac:dyDescent="0.25">
      <c r="A647" s="1" t="str">
        <f>"625-2020/27"</f>
        <v>625-2020/27</v>
      </c>
      <c r="B647" s="1" t="str">
        <f t="shared" si="113"/>
        <v>29.01.2020</v>
      </c>
      <c r="C647" s="1" t="str">
        <f t="shared" si="112"/>
        <v>Закрито</v>
      </c>
      <c r="D647" s="1" t="str">
        <f>"Реєстрація місця проживання особи"</f>
        <v>Реєстрація місця проживання особи</v>
      </c>
      <c r="E647" s="1" t="str">
        <f>"Реєстрація місця проживання"</f>
        <v>Реєстрація місця проживання</v>
      </c>
      <c r="F647" s="1" t="str">
        <f>"Відділ реєстрації Новокаховської міської ради"</f>
        <v>Відділ реєстрації Новокаховської міської ради</v>
      </c>
      <c r="G647" s="1" t="str">
        <f>"1"</f>
        <v>1</v>
      </c>
      <c r="H647" s="1" t="str">
        <f>"Результат"</f>
        <v>Результат</v>
      </c>
      <c r="I647" s="1" t="str">
        <f t="shared" si="118"/>
        <v>Позитивний</v>
      </c>
      <c r="J647" s="1" t="str">
        <f>"Так"</f>
        <v>Так</v>
      </c>
    </row>
    <row r="648" spans="1:10" ht="45" x14ac:dyDescent="0.25">
      <c r="A648" s="1" t="str">
        <f>"646-2020/27"</f>
        <v>646-2020/27</v>
      </c>
      <c r="B648" s="1" t="str">
        <f t="shared" si="113"/>
        <v>29.01.2020</v>
      </c>
      <c r="C648" s="1" t="str">
        <f t="shared" si="112"/>
        <v>Закрито</v>
      </c>
      <c r="D648" s="1" t="str">
        <f>"Реєстрація місця проживання особи"</f>
        <v>Реєстрація місця проживання особи</v>
      </c>
      <c r="E648" s="1" t="str">
        <f>"Реєстрація місця проживання"</f>
        <v>Реєстрація місця проживання</v>
      </c>
      <c r="F648" s="1" t="str">
        <f>"Відділ реєстрації Новокаховської міської ради"</f>
        <v>Відділ реєстрації Новокаховської міської ради</v>
      </c>
      <c r="G648" s="1" t="str">
        <f>"1"</f>
        <v>1</v>
      </c>
      <c r="H648" s="1" t="str">
        <f>"Результат"</f>
        <v>Результат</v>
      </c>
      <c r="I648" s="1" t="str">
        <f t="shared" si="118"/>
        <v>Позитивний</v>
      </c>
      <c r="J648" s="1" t="str">
        <f>"Так"</f>
        <v>Так</v>
      </c>
    </row>
    <row r="649" spans="1:10" ht="45" x14ac:dyDescent="0.25">
      <c r="A649" s="1" t="str">
        <f>"622-2020/27"</f>
        <v>622-2020/27</v>
      </c>
      <c r="B649" s="1" t="str">
        <f t="shared" si="113"/>
        <v>29.01.2020</v>
      </c>
      <c r="C649" s="1" t="str">
        <f t="shared" si="112"/>
        <v>Закрито</v>
      </c>
      <c r="D649" s="1" t="str">
        <f>"Зняття з реєстрації місця проживання"</f>
        <v>Зняття з реєстрації місця проживання</v>
      </c>
      <c r="E649" s="1" t="str">
        <f>"Реєстрація місця проживання"</f>
        <v>Реєстрація місця проживання</v>
      </c>
      <c r="F649" s="1" t="str">
        <f>"Відділ реєстрації Новокаховської міської ради"</f>
        <v>Відділ реєстрації Новокаховської міської ради</v>
      </c>
      <c r="G649" s="1" t="str">
        <f>"1"</f>
        <v>1</v>
      </c>
      <c r="H649" s="1" t="str">
        <f>"Результат"</f>
        <v>Результат</v>
      </c>
      <c r="I649" s="1" t="str">
        <f t="shared" si="118"/>
        <v>Позитивний</v>
      </c>
      <c r="J649" s="1" t="str">
        <f>"Так"</f>
        <v>Так</v>
      </c>
    </row>
    <row r="650" spans="1:10" ht="135" x14ac:dyDescent="0.25">
      <c r="A650" s="1" t="str">
        <f>"632-2020/27"</f>
        <v>632-2020/27</v>
      </c>
      <c r="B650" s="1" t="str">
        <f t="shared" si="113"/>
        <v>29.01.2020</v>
      </c>
      <c r="C650" s="1" t="str">
        <f t="shared" si="112"/>
        <v>Закрито</v>
      </c>
      <c r="D65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50" s="1" t="str">
        <f>"Земельні питання"</f>
        <v>Земельні питання</v>
      </c>
      <c r="F6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50" s="1" t="str">
        <f>"3"</f>
        <v>3</v>
      </c>
      <c r="H650" s="1" t="str">
        <f>"Результат"</f>
        <v>Результат</v>
      </c>
      <c r="I650" s="1" t="str">
        <f t="shared" si="118"/>
        <v>Позитивний</v>
      </c>
      <c r="J650" s="1" t="str">
        <f>"Ні"</f>
        <v>Ні</v>
      </c>
    </row>
    <row r="651" spans="1:10" ht="90" x14ac:dyDescent="0.25">
      <c r="A651" s="1" t="str">
        <f>"618-2020/27"</f>
        <v>618-2020/27</v>
      </c>
      <c r="B651" s="1" t="str">
        <f t="shared" si="113"/>
        <v>29.01.2020</v>
      </c>
      <c r="C651" s="1" t="str">
        <f t="shared" si="112"/>
        <v>Закрито</v>
      </c>
      <c r="D65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51" s="1" t="str">
        <f>"Інші послуги"</f>
        <v>Інші послуги</v>
      </c>
      <c r="F65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51" s="1" t="str">
        <f>"5"</f>
        <v>5</v>
      </c>
      <c r="H651" s="1" t="str">
        <f>"Результат"</f>
        <v>Результат</v>
      </c>
      <c r="I651" s="1" t="str">
        <f t="shared" si="118"/>
        <v>Позитивний</v>
      </c>
      <c r="J651" s="1" t="str">
        <f>"Ні"</f>
        <v>Ні</v>
      </c>
    </row>
    <row r="652" spans="1:10" ht="45" x14ac:dyDescent="0.25">
      <c r="A652" s="1" t="str">
        <f>"634-2020/27"</f>
        <v>634-2020/27</v>
      </c>
      <c r="B652" s="1" t="str">
        <f t="shared" si="113"/>
        <v>29.01.2020</v>
      </c>
      <c r="C652" s="1" t="str">
        <f t="shared" si="112"/>
        <v>Закрито</v>
      </c>
      <c r="D652" s="1" t="str">
        <f>"Реєстрація місця проживання особи"</f>
        <v>Реєстрація місця проживання особи</v>
      </c>
      <c r="E652" s="1" t="str">
        <f>"Реєстрація місця проживання"</f>
        <v>Реєстрація місця проживання</v>
      </c>
      <c r="F652" s="1" t="str">
        <f>"Відділ реєстрації Новокаховської міської ради"</f>
        <v>Відділ реєстрації Новокаховської міської ради</v>
      </c>
      <c r="G652" s="1" t="str">
        <f>"1"</f>
        <v>1</v>
      </c>
      <c r="H652" s="1" t="str">
        <f>"Результат"</f>
        <v>Результат</v>
      </c>
      <c r="I652" s="1" t="str">
        <f t="shared" si="118"/>
        <v>Позитивний</v>
      </c>
      <c r="J652" s="1" t="str">
        <f>"Так"</f>
        <v>Так</v>
      </c>
    </row>
    <row r="653" spans="1:10" ht="45" x14ac:dyDescent="0.25">
      <c r="A653" s="1" t="str">
        <f>"640-2020/27"</f>
        <v>640-2020/27</v>
      </c>
      <c r="B653" s="1" t="str">
        <f t="shared" si="113"/>
        <v>29.01.2020</v>
      </c>
      <c r="C653" s="1" t="str">
        <f t="shared" si="112"/>
        <v>Закрито</v>
      </c>
      <c r="D653" s="1" t="str">
        <f>"Реєстрація місця проживання особи"</f>
        <v>Реєстрація місця проживання особи</v>
      </c>
      <c r="E653" s="1" t="str">
        <f>"Реєстрація місця проживання"</f>
        <v>Реєстрація місця проживання</v>
      </c>
      <c r="F653" s="1" t="str">
        <f>"Відділ реєстрації Новокаховської міської ради"</f>
        <v>Відділ реєстрації Новокаховської міської ради</v>
      </c>
      <c r="G653" s="1" t="str">
        <f>"1"</f>
        <v>1</v>
      </c>
      <c r="H653" s="1" t="str">
        <f>"Результат"</f>
        <v>Результат</v>
      </c>
      <c r="I653" s="1" t="str">
        <f t="shared" si="118"/>
        <v>Позитивний</v>
      </c>
      <c r="J653" s="1" t="str">
        <f>"Так"</f>
        <v>Так</v>
      </c>
    </row>
    <row r="654" spans="1:10" ht="45" x14ac:dyDescent="0.25">
      <c r="A654" s="1" t="str">
        <f>"624-2020/27"</f>
        <v>624-2020/27</v>
      </c>
      <c r="B654" s="1" t="str">
        <f t="shared" si="113"/>
        <v>29.01.2020</v>
      </c>
      <c r="C654" s="1" t="str">
        <f t="shared" si="112"/>
        <v>Закрито</v>
      </c>
      <c r="D654" s="1" t="str">
        <f>"Реєстрація місця проживання особи"</f>
        <v>Реєстрація місця проживання особи</v>
      </c>
      <c r="E654" s="1" t="str">
        <f>"Реєстрація місця проживання"</f>
        <v>Реєстрація місця проживання</v>
      </c>
      <c r="F654" s="1" t="str">
        <f>"Відділ реєстрації Новокаховської міської ради"</f>
        <v>Відділ реєстрації Новокаховської міської ради</v>
      </c>
      <c r="G654" s="1" t="str">
        <f>"1"</f>
        <v>1</v>
      </c>
      <c r="H654" s="1" t="str">
        <f>"Результат"</f>
        <v>Результат</v>
      </c>
      <c r="I654" s="1" t="str">
        <f t="shared" si="118"/>
        <v>Позитивний</v>
      </c>
      <c r="J654" s="1" t="str">
        <f>"Так"</f>
        <v>Так</v>
      </c>
    </row>
    <row r="655" spans="1:10" ht="45" x14ac:dyDescent="0.25">
      <c r="A655" s="1" t="str">
        <f>"635-2020/27"</f>
        <v>635-2020/27</v>
      </c>
      <c r="B655" s="1" t="str">
        <f t="shared" si="113"/>
        <v>29.01.2020</v>
      </c>
      <c r="C655" s="1" t="str">
        <f t="shared" si="112"/>
        <v>Закрито</v>
      </c>
      <c r="D655" s="1" t="str">
        <f>"Реєстрація місця проживання особи"</f>
        <v>Реєстрація місця проживання особи</v>
      </c>
      <c r="E655" s="1" t="str">
        <f>"Реєстрація місця проживання"</f>
        <v>Реєстрація місця проживання</v>
      </c>
      <c r="F655" s="1" t="str">
        <f>"Відділ реєстрації Новокаховської міської ради"</f>
        <v>Відділ реєстрації Новокаховської міської ради</v>
      </c>
      <c r="G655" s="1" t="str">
        <f>"1"</f>
        <v>1</v>
      </c>
      <c r="H655" s="1" t="str">
        <f>"Результат"</f>
        <v>Результат</v>
      </c>
      <c r="I655" s="1" t="str">
        <f t="shared" si="118"/>
        <v>Позитивний</v>
      </c>
      <c r="J655" s="1" t="str">
        <f>"Так"</f>
        <v>Так</v>
      </c>
    </row>
    <row r="656" spans="1:10" ht="135" x14ac:dyDescent="0.25">
      <c r="A656" s="1" t="str">
        <f>"628-2020/27"</f>
        <v>628-2020/27</v>
      </c>
      <c r="B656" s="1" t="str">
        <f t="shared" si="113"/>
        <v>29.01.2020</v>
      </c>
      <c r="C656" s="1" t="str">
        <f t="shared" si="112"/>
        <v>Закрито</v>
      </c>
      <c r="D6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56" s="1" t="str">
        <f>"Земельні питання"</f>
        <v>Земельні питання</v>
      </c>
      <c r="F6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56" s="1" t="str">
        <f>"3"</f>
        <v>3</v>
      </c>
      <c r="H656" s="1" t="str">
        <f>"Результат"</f>
        <v>Результат</v>
      </c>
      <c r="I656" s="1" t="str">
        <f>"Мотивована відмова"</f>
        <v>Мотивована відмова</v>
      </c>
      <c r="J656" s="1" t="str">
        <f>"Ні"</f>
        <v>Ні</v>
      </c>
    </row>
    <row r="657" spans="1:10" ht="90" x14ac:dyDescent="0.25">
      <c r="A657" s="1" t="str">
        <f>"623-2020/27"</f>
        <v>623-2020/27</v>
      </c>
      <c r="B657" s="1" t="str">
        <f t="shared" si="113"/>
        <v>29.01.2020</v>
      </c>
      <c r="C657" s="1" t="str">
        <f t="shared" si="112"/>
        <v>Закрито</v>
      </c>
      <c r="D65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57" s="1" t="str">
        <f>"Інші послуги"</f>
        <v>Інші послуги</v>
      </c>
      <c r="F65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57" s="1" t="str">
        <f>"5"</f>
        <v>5</v>
      </c>
      <c r="H657" s="1" t="str">
        <f>"Результат"</f>
        <v>Результат</v>
      </c>
      <c r="I657" s="1" t="str">
        <f t="shared" ref="I657:I688" si="119">"Позитивний"</f>
        <v>Позитивний</v>
      </c>
      <c r="J657" s="1" t="str">
        <f>"Ні"</f>
        <v>Ні</v>
      </c>
    </row>
    <row r="658" spans="1:10" ht="45" x14ac:dyDescent="0.25">
      <c r="A658" s="1" t="str">
        <f>"633-2020/27"</f>
        <v>633-2020/27</v>
      </c>
      <c r="B658" s="1" t="str">
        <f t="shared" si="113"/>
        <v>29.01.2020</v>
      </c>
      <c r="C658" s="1" t="str">
        <f t="shared" si="112"/>
        <v>Закрито</v>
      </c>
      <c r="D658" s="1" t="str">
        <f>"Зняття з реєстрації місця проживання"</f>
        <v>Зняття з реєстрації місця проживання</v>
      </c>
      <c r="E658" s="1" t="str">
        <f>"Реєстрація місця проживання"</f>
        <v>Реєстрація місця проживання</v>
      </c>
      <c r="F658" s="1" t="str">
        <f>"Відділ реєстрації Новокаховської міської ради"</f>
        <v>Відділ реєстрації Новокаховської міської ради</v>
      </c>
      <c r="G658" s="1" t="str">
        <f>"1"</f>
        <v>1</v>
      </c>
      <c r="H658" s="1" t="str">
        <f>"Результат"</f>
        <v>Результат</v>
      </c>
      <c r="I658" s="1" t="str">
        <f t="shared" si="119"/>
        <v>Позитивний</v>
      </c>
      <c r="J658" s="1" t="str">
        <f>"Так"</f>
        <v>Так</v>
      </c>
    </row>
    <row r="659" spans="1:10" ht="135" x14ac:dyDescent="0.25">
      <c r="A659" s="1" t="str">
        <f>"648-2020/27"</f>
        <v>648-2020/27</v>
      </c>
      <c r="B659" s="1" t="str">
        <f t="shared" si="113"/>
        <v>29.01.2020</v>
      </c>
      <c r="C659" s="1" t="str">
        <f t="shared" si="112"/>
        <v>Закрито</v>
      </c>
      <c r="D659" s="1" t="str">
        <f>"Видача висновку про погодження документації із землеустрою"</f>
        <v>Видача висновку про погодження документації із землеустрою</v>
      </c>
      <c r="E659" s="1" t="str">
        <f>"Земельні питання"</f>
        <v>Земельні питання</v>
      </c>
      <c r="F6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59" s="1" t="str">
        <f>"10"</f>
        <v>10</v>
      </c>
      <c r="H659" s="1" t="str">
        <f>"Результат"</f>
        <v>Результат</v>
      </c>
      <c r="I659" s="1" t="str">
        <f t="shared" si="119"/>
        <v>Позитивний</v>
      </c>
      <c r="J659" s="1" t="str">
        <f>"Ні"</f>
        <v>Ні</v>
      </c>
    </row>
    <row r="660" spans="1:10" ht="135" x14ac:dyDescent="0.25">
      <c r="A660" s="1" t="str">
        <f>"660-2020/27"</f>
        <v>660-2020/27</v>
      </c>
      <c r="B660" s="1" t="str">
        <f t="shared" ref="B660:B690" si="120">"30.01.2020"</f>
        <v>30.01.2020</v>
      </c>
      <c r="C660" s="1" t="str">
        <f t="shared" si="112"/>
        <v>Закрито</v>
      </c>
      <c r="D66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60" s="1" t="str">
        <f>"Земельні питання"</f>
        <v>Земельні питання</v>
      </c>
      <c r="F6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60" s="1" t="str">
        <f>"3"</f>
        <v>3</v>
      </c>
      <c r="H660" s="1" t="str">
        <f>"Результат"</f>
        <v>Результат</v>
      </c>
      <c r="I660" s="1" t="str">
        <f t="shared" si="119"/>
        <v>Позитивний</v>
      </c>
      <c r="J660" s="1" t="str">
        <f>"Ні"</f>
        <v>Ні</v>
      </c>
    </row>
    <row r="661" spans="1:10" ht="45" x14ac:dyDescent="0.25">
      <c r="A661" s="1" t="str">
        <f>"671-2020/27"</f>
        <v>671-2020/27</v>
      </c>
      <c r="B661" s="1" t="str">
        <f t="shared" si="120"/>
        <v>30.01.2020</v>
      </c>
      <c r="C661" s="1" t="str">
        <f t="shared" si="112"/>
        <v>Закрито</v>
      </c>
      <c r="D661" s="1" t="str">
        <f>"Реєстрація місця проживання особи"</f>
        <v>Реєстрація місця проживання особи</v>
      </c>
      <c r="E661" s="1" t="str">
        <f>"Реєстрація місця проживання"</f>
        <v>Реєстрація місця проживання</v>
      </c>
      <c r="F661" s="1" t="str">
        <f>"Відділ реєстрації Новокаховської міської ради"</f>
        <v>Відділ реєстрації Новокаховської міської ради</v>
      </c>
      <c r="G661" s="1" t="str">
        <f>"1"</f>
        <v>1</v>
      </c>
      <c r="H661" s="1" t="str">
        <f>"Результат"</f>
        <v>Результат</v>
      </c>
      <c r="I661" s="1" t="str">
        <f t="shared" si="119"/>
        <v>Позитивний</v>
      </c>
      <c r="J661" s="1" t="str">
        <f>"Так"</f>
        <v>Так</v>
      </c>
    </row>
    <row r="662" spans="1:10" ht="90" x14ac:dyDescent="0.25">
      <c r="A662" s="1" t="str">
        <f>"664-2020/27"</f>
        <v>664-2020/27</v>
      </c>
      <c r="B662" s="1" t="str">
        <f t="shared" si="120"/>
        <v>30.01.2020</v>
      </c>
      <c r="C662" s="1" t="str">
        <f t="shared" si="112"/>
        <v>Закрито</v>
      </c>
      <c r="D66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62" s="1" t="str">
        <f>"Інші послуги"</f>
        <v>Інші послуги</v>
      </c>
      <c r="F66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62" s="1" t="str">
        <f>"5"</f>
        <v>5</v>
      </c>
      <c r="H662" s="1" t="str">
        <f>"Результат"</f>
        <v>Результат</v>
      </c>
      <c r="I662" s="1" t="str">
        <f t="shared" si="119"/>
        <v>Позитивний</v>
      </c>
      <c r="J662" s="1" t="str">
        <f>"Ні"</f>
        <v>Ні</v>
      </c>
    </row>
    <row r="663" spans="1:10" ht="135" x14ac:dyDescent="0.25">
      <c r="A663" s="1" t="str">
        <f>"685-2020/27"</f>
        <v>685-2020/27</v>
      </c>
      <c r="B663" s="1" t="str">
        <f t="shared" si="120"/>
        <v>30.01.2020</v>
      </c>
      <c r="C663" s="1" t="str">
        <f t="shared" si="112"/>
        <v>Закрито</v>
      </c>
      <c r="D66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63" s="1" t="str">
        <f>"Земельні питання"</f>
        <v>Земельні питання</v>
      </c>
      <c r="F6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63" s="1" t="str">
        <f>"1"</f>
        <v>1</v>
      </c>
      <c r="H663" s="1" t="str">
        <f>"Результат"</f>
        <v>Результат</v>
      </c>
      <c r="I663" s="1" t="str">
        <f t="shared" si="119"/>
        <v>Позитивний</v>
      </c>
      <c r="J663" s="1" t="str">
        <f>"Так"</f>
        <v>Так</v>
      </c>
    </row>
    <row r="664" spans="1:10" ht="135" x14ac:dyDescent="0.25">
      <c r="A664" s="1" t="str">
        <f>"680-2020/27"</f>
        <v>680-2020/27</v>
      </c>
      <c r="B664" s="1" t="str">
        <f t="shared" si="120"/>
        <v>30.01.2020</v>
      </c>
      <c r="C664" s="1" t="str">
        <f t="shared" si="112"/>
        <v>Закрито</v>
      </c>
      <c r="D6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64" s="1" t="str">
        <f>"Земельні питання"</f>
        <v>Земельні питання</v>
      </c>
      <c r="F6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64" s="1" t="str">
        <f>"3"</f>
        <v>3</v>
      </c>
      <c r="H664" s="1" t="str">
        <f>"Результат"</f>
        <v>Результат</v>
      </c>
      <c r="I664" s="1" t="str">
        <f t="shared" si="119"/>
        <v>Позитивний</v>
      </c>
      <c r="J664" s="1" t="str">
        <f>"Ні"</f>
        <v>Ні</v>
      </c>
    </row>
    <row r="665" spans="1:10" ht="135" x14ac:dyDescent="0.25">
      <c r="A665" s="1" t="str">
        <f>"675-2020/27"</f>
        <v>675-2020/27</v>
      </c>
      <c r="B665" s="1" t="str">
        <f t="shared" si="120"/>
        <v>30.01.2020</v>
      </c>
      <c r="C665" s="1" t="str">
        <f t="shared" si="112"/>
        <v>Закрито</v>
      </c>
      <c r="D6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65" s="1" t="str">
        <f>"Земельні питання"</f>
        <v>Земельні питання</v>
      </c>
      <c r="F6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65" s="1" t="str">
        <f>"1"</f>
        <v>1</v>
      </c>
      <c r="H665" s="1" t="str">
        <f>"Результат"</f>
        <v>Результат</v>
      </c>
      <c r="I665" s="1" t="str">
        <f t="shared" si="119"/>
        <v>Позитивний</v>
      </c>
      <c r="J665" s="1" t="str">
        <f>"Так"</f>
        <v>Так</v>
      </c>
    </row>
    <row r="666" spans="1:10" ht="45" x14ac:dyDescent="0.25">
      <c r="A666" s="1" t="str">
        <f>"662-2020/27"</f>
        <v>662-2020/27</v>
      </c>
      <c r="B666" s="1" t="str">
        <f t="shared" si="120"/>
        <v>30.01.2020</v>
      </c>
      <c r="C666" s="1" t="str">
        <f t="shared" si="112"/>
        <v>Закрито</v>
      </c>
      <c r="D666" s="1" t="str">
        <f>"Зняття з реєстрації місця проживання"</f>
        <v>Зняття з реєстрації місця проживання</v>
      </c>
      <c r="E666" s="1" t="str">
        <f>"Реєстрація місця проживання"</f>
        <v>Реєстрація місця проживання</v>
      </c>
      <c r="F666" s="1" t="str">
        <f>"Відділ реєстрації Новокаховської міської ради"</f>
        <v>Відділ реєстрації Новокаховської міської ради</v>
      </c>
      <c r="G666" s="1" t="str">
        <f>"1"</f>
        <v>1</v>
      </c>
      <c r="H666" s="1" t="str">
        <f>"Результат"</f>
        <v>Результат</v>
      </c>
      <c r="I666" s="1" t="str">
        <f t="shared" si="119"/>
        <v>Позитивний</v>
      </c>
      <c r="J666" s="1" t="str">
        <f>"Так"</f>
        <v>Так</v>
      </c>
    </row>
    <row r="667" spans="1:10" ht="135" x14ac:dyDescent="0.25">
      <c r="A667" s="1" t="str">
        <f>"656-2020/27"</f>
        <v>656-2020/27</v>
      </c>
      <c r="B667" s="1" t="str">
        <f t="shared" si="120"/>
        <v>30.01.2020</v>
      </c>
      <c r="C667" s="1" t="str">
        <f t="shared" si="112"/>
        <v>Закрито</v>
      </c>
      <c r="D66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67" s="1" t="str">
        <f>"Земельні питання"</f>
        <v>Земельні питання</v>
      </c>
      <c r="F6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67" s="1" t="str">
        <f>"3"</f>
        <v>3</v>
      </c>
      <c r="H667" s="1" t="str">
        <f>"Результат"</f>
        <v>Результат</v>
      </c>
      <c r="I667" s="1" t="str">
        <f t="shared" si="119"/>
        <v>Позитивний</v>
      </c>
      <c r="J667" s="1" t="str">
        <f>"Ні"</f>
        <v>Ні</v>
      </c>
    </row>
    <row r="668" spans="1:10" ht="135" x14ac:dyDescent="0.25">
      <c r="A668" s="1" t="str">
        <f>"655-2020/27"</f>
        <v>655-2020/27</v>
      </c>
      <c r="B668" s="1" t="str">
        <f t="shared" si="120"/>
        <v>30.01.2020</v>
      </c>
      <c r="C668" s="1" t="str">
        <f t="shared" si="112"/>
        <v>Закрито</v>
      </c>
      <c r="D66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668" s="1" t="str">
        <f>"Земельні питання"</f>
        <v>Земельні питання</v>
      </c>
      <c r="F6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68" s="1" t="str">
        <f>"14"</f>
        <v>14</v>
      </c>
      <c r="H668" s="1" t="str">
        <f>"Результат"</f>
        <v>Результат</v>
      </c>
      <c r="I668" s="1" t="str">
        <f t="shared" si="119"/>
        <v>Позитивний</v>
      </c>
      <c r="J668" s="1" t="str">
        <f>"Ні"</f>
        <v>Ні</v>
      </c>
    </row>
    <row r="669" spans="1:10" ht="135" x14ac:dyDescent="0.25">
      <c r="A669" s="1" t="str">
        <f>"677-2020/27"</f>
        <v>677-2020/27</v>
      </c>
      <c r="B669" s="1" t="str">
        <f t="shared" si="120"/>
        <v>30.01.2020</v>
      </c>
      <c r="C669" s="1" t="str">
        <f t="shared" si="112"/>
        <v>Закрито</v>
      </c>
      <c r="D6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69" s="1" t="str">
        <f>"Земельні питання"</f>
        <v>Земельні питання</v>
      </c>
      <c r="F6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69" s="1" t="str">
        <f>"3"</f>
        <v>3</v>
      </c>
      <c r="H669" s="1" t="str">
        <f>"Результат"</f>
        <v>Результат</v>
      </c>
      <c r="I669" s="1" t="str">
        <f t="shared" si="119"/>
        <v>Позитивний</v>
      </c>
      <c r="J669" s="1" t="str">
        <f>"Ні"</f>
        <v>Ні</v>
      </c>
    </row>
    <row r="670" spans="1:10" ht="45" x14ac:dyDescent="0.25">
      <c r="A670" s="1" t="str">
        <f>"659-2020/27"</f>
        <v>659-2020/27</v>
      </c>
      <c r="B670" s="1" t="str">
        <f t="shared" si="120"/>
        <v>30.01.2020</v>
      </c>
      <c r="C670" s="1" t="str">
        <f t="shared" si="112"/>
        <v>Закрито</v>
      </c>
      <c r="D670" s="1" t="str">
        <f>"Зняття з реєстрації місця проживання"</f>
        <v>Зняття з реєстрації місця проживання</v>
      </c>
      <c r="E670" s="1" t="str">
        <f>"Реєстрація місця проживання"</f>
        <v>Реєстрація місця проживання</v>
      </c>
      <c r="F670" s="1" t="str">
        <f>"Відділ реєстрації Новокаховської міської ради"</f>
        <v>Відділ реєстрації Новокаховської міської ради</v>
      </c>
      <c r="G670" s="1" t="str">
        <f>"1"</f>
        <v>1</v>
      </c>
      <c r="H670" s="1" t="str">
        <f>"Результат"</f>
        <v>Результат</v>
      </c>
      <c r="I670" s="1" t="str">
        <f t="shared" si="119"/>
        <v>Позитивний</v>
      </c>
      <c r="J670" s="1" t="str">
        <f>"Так"</f>
        <v>Так</v>
      </c>
    </row>
    <row r="671" spans="1:10" ht="135" x14ac:dyDescent="0.25">
      <c r="A671" s="1" t="str">
        <f>"672-2020/27"</f>
        <v>672-2020/27</v>
      </c>
      <c r="B671" s="1" t="str">
        <f t="shared" si="120"/>
        <v>30.01.2020</v>
      </c>
      <c r="C671" s="1" t="str">
        <f t="shared" si="112"/>
        <v>Закрито</v>
      </c>
      <c r="D6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71" s="1" t="str">
        <f>"Земельні питання"</f>
        <v>Земельні питання</v>
      </c>
      <c r="F6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71" s="1" t="str">
        <f>"1"</f>
        <v>1</v>
      </c>
      <c r="H671" s="1" t="str">
        <f>"Результат"</f>
        <v>Результат</v>
      </c>
      <c r="I671" s="1" t="str">
        <f t="shared" si="119"/>
        <v>Позитивний</v>
      </c>
      <c r="J671" s="1" t="str">
        <f>"Так"</f>
        <v>Так</v>
      </c>
    </row>
    <row r="672" spans="1:10" ht="135" x14ac:dyDescent="0.25">
      <c r="A672" s="1" t="str">
        <f>"679-2020/27"</f>
        <v>679-2020/27</v>
      </c>
      <c r="B672" s="1" t="str">
        <f t="shared" si="120"/>
        <v>30.01.2020</v>
      </c>
      <c r="C672" s="1" t="str">
        <f t="shared" ref="C672:C735" si="121">"Закрито"</f>
        <v>Закрито</v>
      </c>
      <c r="D67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72" s="1" t="str">
        <f>"Земельні питання"</f>
        <v>Земельні питання</v>
      </c>
      <c r="F6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72" s="1" t="str">
        <f>"3"</f>
        <v>3</v>
      </c>
      <c r="H672" s="1" t="str">
        <f>"Результат"</f>
        <v>Результат</v>
      </c>
      <c r="I672" s="1" t="str">
        <f t="shared" si="119"/>
        <v>Позитивний</v>
      </c>
      <c r="J672" s="1" t="str">
        <f>"Ні"</f>
        <v>Ні</v>
      </c>
    </row>
    <row r="673" spans="1:10" ht="135" x14ac:dyDescent="0.25">
      <c r="A673" s="1" t="str">
        <f>"683-2020/27"</f>
        <v>683-2020/27</v>
      </c>
      <c r="B673" s="1" t="str">
        <f t="shared" si="120"/>
        <v>30.01.2020</v>
      </c>
      <c r="C673" s="1" t="str">
        <f t="shared" si="121"/>
        <v>Закрито</v>
      </c>
      <c r="D67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73" s="1" t="str">
        <f>"Земельні питання"</f>
        <v>Земельні питання</v>
      </c>
      <c r="F6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73" s="1" t="str">
        <f>"3"</f>
        <v>3</v>
      </c>
      <c r="H673" s="1" t="str">
        <f>"Результат"</f>
        <v>Результат</v>
      </c>
      <c r="I673" s="1" t="str">
        <f t="shared" si="119"/>
        <v>Позитивний</v>
      </c>
      <c r="J673" s="1" t="str">
        <f>"Ні"</f>
        <v>Ні</v>
      </c>
    </row>
    <row r="674" spans="1:10" ht="90" x14ac:dyDescent="0.25">
      <c r="A674" s="1" t="str">
        <f>"661-2020/27"</f>
        <v>661-2020/27</v>
      </c>
      <c r="B674" s="1" t="str">
        <f t="shared" si="120"/>
        <v>30.01.2020</v>
      </c>
      <c r="C674" s="1" t="str">
        <f t="shared" si="121"/>
        <v>Закрито</v>
      </c>
      <c r="D67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674" s="1" t="str">
        <f>"Інші послуги"</f>
        <v>Інші послуги</v>
      </c>
      <c r="F67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674" s="1" t="str">
        <f>"5"</f>
        <v>5</v>
      </c>
      <c r="H674" s="1" t="str">
        <f>"Результат"</f>
        <v>Результат</v>
      </c>
      <c r="I674" s="1" t="str">
        <f t="shared" si="119"/>
        <v>Позитивний</v>
      </c>
      <c r="J674" s="1" t="str">
        <f>"Ні"</f>
        <v>Ні</v>
      </c>
    </row>
    <row r="675" spans="1:10" ht="135" x14ac:dyDescent="0.25">
      <c r="A675" s="1" t="str">
        <f>"665-2020/27"</f>
        <v>665-2020/27</v>
      </c>
      <c r="B675" s="1" t="str">
        <f t="shared" si="120"/>
        <v>30.01.2020</v>
      </c>
      <c r="C675" s="1" t="str">
        <f t="shared" si="121"/>
        <v>Закрито</v>
      </c>
      <c r="D67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75" s="1" t="str">
        <f>"Земельні питання"</f>
        <v>Земельні питання</v>
      </c>
      <c r="F6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75" s="1" t="str">
        <f t="shared" ref="G675:G682" si="122">"1"</f>
        <v>1</v>
      </c>
      <c r="H675" s="1" t="str">
        <f>"Результат"</f>
        <v>Результат</v>
      </c>
      <c r="I675" s="1" t="str">
        <f t="shared" si="119"/>
        <v>Позитивний</v>
      </c>
      <c r="J675" s="1" t="str">
        <f t="shared" ref="J675:J682" si="123">"Так"</f>
        <v>Так</v>
      </c>
    </row>
    <row r="676" spans="1:10" ht="135" x14ac:dyDescent="0.25">
      <c r="A676" s="1" t="str">
        <f>"674-2020/27"</f>
        <v>674-2020/27</v>
      </c>
      <c r="B676" s="1" t="str">
        <f t="shared" si="120"/>
        <v>30.01.2020</v>
      </c>
      <c r="C676" s="1" t="str">
        <f t="shared" si="121"/>
        <v>Закрито</v>
      </c>
      <c r="D67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76" s="1" t="str">
        <f>"Земельні питання"</f>
        <v>Земельні питання</v>
      </c>
      <c r="F6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76" s="1" t="str">
        <f t="shared" si="122"/>
        <v>1</v>
      </c>
      <c r="H676" s="1" t="str">
        <f>"Результат"</f>
        <v>Результат</v>
      </c>
      <c r="I676" s="1" t="str">
        <f t="shared" si="119"/>
        <v>Позитивний</v>
      </c>
      <c r="J676" s="1" t="str">
        <f t="shared" si="123"/>
        <v>Так</v>
      </c>
    </row>
    <row r="677" spans="1:10" ht="45" x14ac:dyDescent="0.25">
      <c r="A677" s="1" t="str">
        <f>"667-2020/27"</f>
        <v>667-2020/27</v>
      </c>
      <c r="B677" s="1" t="str">
        <f t="shared" si="120"/>
        <v>30.01.2020</v>
      </c>
      <c r="C677" s="1" t="str">
        <f t="shared" si="121"/>
        <v>Закрито</v>
      </c>
      <c r="D677" s="1" t="str">
        <f>"Зняття з реєстрації місця проживання"</f>
        <v>Зняття з реєстрації місця проживання</v>
      </c>
      <c r="E677" s="1" t="str">
        <f>"Реєстрація місця проживання"</f>
        <v>Реєстрація місця проживання</v>
      </c>
      <c r="F677" s="1" t="str">
        <f>"Відділ реєстрації Новокаховської міської ради"</f>
        <v>Відділ реєстрації Новокаховської міської ради</v>
      </c>
      <c r="G677" s="1" t="str">
        <f t="shared" si="122"/>
        <v>1</v>
      </c>
      <c r="H677" s="1" t="str">
        <f>"Результат"</f>
        <v>Результат</v>
      </c>
      <c r="I677" s="1" t="str">
        <f t="shared" si="119"/>
        <v>Позитивний</v>
      </c>
      <c r="J677" s="1" t="str">
        <f t="shared" si="123"/>
        <v>Так</v>
      </c>
    </row>
    <row r="678" spans="1:10" ht="45" x14ac:dyDescent="0.25">
      <c r="A678" s="1" t="str">
        <f>"668-2020/27"</f>
        <v>668-2020/27</v>
      </c>
      <c r="B678" s="1" t="str">
        <f t="shared" si="120"/>
        <v>30.01.2020</v>
      </c>
      <c r="C678" s="1" t="str">
        <f t="shared" si="121"/>
        <v>Закрито</v>
      </c>
      <c r="D678" s="1" t="str">
        <f>"Реєстрація місця проживання особи"</f>
        <v>Реєстрація місця проживання особи</v>
      </c>
      <c r="E678" s="1" t="str">
        <f>"Реєстрація місця проживання"</f>
        <v>Реєстрація місця проживання</v>
      </c>
      <c r="F678" s="1" t="str">
        <f>"Відділ реєстрації Новокаховської міської ради"</f>
        <v>Відділ реєстрації Новокаховської міської ради</v>
      </c>
      <c r="G678" s="1" t="str">
        <f t="shared" si="122"/>
        <v>1</v>
      </c>
      <c r="H678" s="1" t="str">
        <f>"Результат"</f>
        <v>Результат</v>
      </c>
      <c r="I678" s="1" t="str">
        <f t="shared" si="119"/>
        <v>Позитивний</v>
      </c>
      <c r="J678" s="1" t="str">
        <f t="shared" si="123"/>
        <v>Так</v>
      </c>
    </row>
    <row r="679" spans="1:10" ht="45" x14ac:dyDescent="0.25">
      <c r="A679" s="1" t="str">
        <f>"666-2020/27"</f>
        <v>666-2020/27</v>
      </c>
      <c r="B679" s="1" t="str">
        <f t="shared" si="120"/>
        <v>30.01.2020</v>
      </c>
      <c r="C679" s="1" t="str">
        <f t="shared" si="121"/>
        <v>Закрито</v>
      </c>
      <c r="D679" s="1" t="str">
        <f>"Зняття з реєстрації місця проживання"</f>
        <v>Зняття з реєстрації місця проживання</v>
      </c>
      <c r="E679" s="1" t="str">
        <f>"Реєстрація місця проживання"</f>
        <v>Реєстрація місця проживання</v>
      </c>
      <c r="F679" s="1" t="str">
        <f>"Відділ реєстрації Новокаховської міської ради"</f>
        <v>Відділ реєстрації Новокаховської міської ради</v>
      </c>
      <c r="G679" s="1" t="str">
        <f t="shared" si="122"/>
        <v>1</v>
      </c>
      <c r="H679" s="1" t="str">
        <f>"Результат"</f>
        <v>Результат</v>
      </c>
      <c r="I679" s="1" t="str">
        <f t="shared" si="119"/>
        <v>Позитивний</v>
      </c>
      <c r="J679" s="1" t="str">
        <f t="shared" si="123"/>
        <v>Так</v>
      </c>
    </row>
    <row r="680" spans="1:10" ht="45" x14ac:dyDescent="0.25">
      <c r="A680" s="1" t="str">
        <f>"670-2020/27"</f>
        <v>670-2020/27</v>
      </c>
      <c r="B680" s="1" t="str">
        <f t="shared" si="120"/>
        <v>30.01.2020</v>
      </c>
      <c r="C680" s="1" t="str">
        <f t="shared" si="121"/>
        <v>Закрито</v>
      </c>
      <c r="D680" s="1" t="str">
        <f>"Реєстрація місця проживання особи"</f>
        <v>Реєстрація місця проживання особи</v>
      </c>
      <c r="E680" s="1" t="str">
        <f>"Реєстрація місця проживання"</f>
        <v>Реєстрація місця проживання</v>
      </c>
      <c r="F680" s="1" t="str">
        <f>"Відділ реєстрації Новокаховської міської ради"</f>
        <v>Відділ реєстрації Новокаховської міської ради</v>
      </c>
      <c r="G680" s="1" t="str">
        <f t="shared" si="122"/>
        <v>1</v>
      </c>
      <c r="H680" s="1" t="str">
        <f>"Результат"</f>
        <v>Результат</v>
      </c>
      <c r="I680" s="1" t="str">
        <f t="shared" si="119"/>
        <v>Позитивний</v>
      </c>
      <c r="J680" s="1" t="str">
        <f t="shared" si="123"/>
        <v>Так</v>
      </c>
    </row>
    <row r="681" spans="1:10" ht="45" x14ac:dyDescent="0.25">
      <c r="A681" s="1" t="str">
        <f>"658-2020/27"</f>
        <v>658-2020/27</v>
      </c>
      <c r="B681" s="1" t="str">
        <f t="shared" si="120"/>
        <v>30.01.2020</v>
      </c>
      <c r="C681" s="1" t="str">
        <f t="shared" si="121"/>
        <v>Закрито</v>
      </c>
      <c r="D681" s="1" t="str">
        <f>"Зняття з реєстрації місця проживання"</f>
        <v>Зняття з реєстрації місця проживання</v>
      </c>
      <c r="E681" s="1" t="str">
        <f>"Реєстрація місця проживання"</f>
        <v>Реєстрація місця проживання</v>
      </c>
      <c r="F681" s="1" t="str">
        <f>"Відділ реєстрації Новокаховської міської ради"</f>
        <v>Відділ реєстрації Новокаховської міської ради</v>
      </c>
      <c r="G681" s="1" t="str">
        <f t="shared" si="122"/>
        <v>1</v>
      </c>
      <c r="H681" s="1" t="str">
        <f>"Результат"</f>
        <v>Результат</v>
      </c>
      <c r="I681" s="1" t="str">
        <f t="shared" si="119"/>
        <v>Позитивний</v>
      </c>
      <c r="J681" s="1" t="str">
        <f t="shared" si="123"/>
        <v>Так</v>
      </c>
    </row>
    <row r="682" spans="1:10" ht="135" x14ac:dyDescent="0.25">
      <c r="A682" s="1" t="str">
        <f>"678-2020/27"</f>
        <v>678-2020/27</v>
      </c>
      <c r="B682" s="1" t="str">
        <f t="shared" si="120"/>
        <v>30.01.2020</v>
      </c>
      <c r="C682" s="1" t="str">
        <f t="shared" si="121"/>
        <v>Закрито</v>
      </c>
      <c r="D68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82" s="1" t="str">
        <f t="shared" ref="E682:E688" si="124">"Земельні питання"</f>
        <v>Земельні питання</v>
      </c>
      <c r="F682" s="1" t="str">
        <f t="shared" ref="F682:F688" si="125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82" s="1" t="str">
        <f t="shared" si="122"/>
        <v>1</v>
      </c>
      <c r="H682" s="1" t="str">
        <f>"Результат"</f>
        <v>Результат</v>
      </c>
      <c r="I682" s="1" t="str">
        <f t="shared" si="119"/>
        <v>Позитивний</v>
      </c>
      <c r="J682" s="1" t="str">
        <f t="shared" si="123"/>
        <v>Так</v>
      </c>
    </row>
    <row r="683" spans="1:10" ht="135" x14ac:dyDescent="0.25">
      <c r="A683" s="1" t="str">
        <f>"657-2020/27"</f>
        <v>657-2020/27</v>
      </c>
      <c r="B683" s="1" t="str">
        <f t="shared" si="120"/>
        <v>30.01.2020</v>
      </c>
      <c r="C683" s="1" t="str">
        <f t="shared" si="121"/>
        <v>Закрито</v>
      </c>
      <c r="D683" s="1" t="str">
        <f t="shared" ref="D683:D688" si="126"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83" s="1" t="str">
        <f t="shared" si="124"/>
        <v>Земельні питання</v>
      </c>
      <c r="F683" s="1" t="str">
        <f t="shared" si="1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83" s="1" t="str">
        <f t="shared" ref="G683:G688" si="127">"3"</f>
        <v>3</v>
      </c>
      <c r="H683" s="1" t="str">
        <f>"Результат"</f>
        <v>Результат</v>
      </c>
      <c r="I683" s="1" t="str">
        <f t="shared" si="119"/>
        <v>Позитивний</v>
      </c>
      <c r="J683" s="1" t="str">
        <f t="shared" ref="J683:J688" si="128">"Ні"</f>
        <v>Ні</v>
      </c>
    </row>
    <row r="684" spans="1:10" ht="135" x14ac:dyDescent="0.25">
      <c r="A684" s="1" t="str">
        <f>"676-2020/27"</f>
        <v>676-2020/27</v>
      </c>
      <c r="B684" s="1" t="str">
        <f t="shared" si="120"/>
        <v>30.01.2020</v>
      </c>
      <c r="C684" s="1" t="str">
        <f t="shared" si="121"/>
        <v>Закрито</v>
      </c>
      <c r="D684" s="1" t="str">
        <f t="shared" si="126"/>
        <v>Видача витягу з технічної документації про нормативну грошову оцінку земельної ділянки.</v>
      </c>
      <c r="E684" s="1" t="str">
        <f t="shared" si="124"/>
        <v>Земельні питання</v>
      </c>
      <c r="F684" s="1" t="str">
        <f t="shared" si="1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84" s="1" t="str">
        <f t="shared" si="127"/>
        <v>3</v>
      </c>
      <c r="H684" s="1" t="str">
        <f>"Результат"</f>
        <v>Результат</v>
      </c>
      <c r="I684" s="1" t="str">
        <f t="shared" si="119"/>
        <v>Позитивний</v>
      </c>
      <c r="J684" s="1" t="str">
        <f t="shared" si="128"/>
        <v>Ні</v>
      </c>
    </row>
    <row r="685" spans="1:10" ht="135" x14ac:dyDescent="0.25">
      <c r="A685" s="1" t="str">
        <f>"681-2020/27"</f>
        <v>681-2020/27</v>
      </c>
      <c r="B685" s="1" t="str">
        <f t="shared" si="120"/>
        <v>30.01.2020</v>
      </c>
      <c r="C685" s="1" t="str">
        <f t="shared" si="121"/>
        <v>Закрито</v>
      </c>
      <c r="D685" s="1" t="str">
        <f t="shared" si="126"/>
        <v>Видача витягу з технічної документації про нормативну грошову оцінку земельної ділянки.</v>
      </c>
      <c r="E685" s="1" t="str">
        <f t="shared" si="124"/>
        <v>Земельні питання</v>
      </c>
      <c r="F685" s="1" t="str">
        <f t="shared" si="1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85" s="1" t="str">
        <f t="shared" si="127"/>
        <v>3</v>
      </c>
      <c r="H685" s="1" t="str">
        <f>"Результат"</f>
        <v>Результат</v>
      </c>
      <c r="I685" s="1" t="str">
        <f t="shared" si="119"/>
        <v>Позитивний</v>
      </c>
      <c r="J685" s="1" t="str">
        <f t="shared" si="128"/>
        <v>Ні</v>
      </c>
    </row>
    <row r="686" spans="1:10" ht="135" x14ac:dyDescent="0.25">
      <c r="A686" s="1" t="str">
        <f>"682-2020/27"</f>
        <v>682-2020/27</v>
      </c>
      <c r="B686" s="1" t="str">
        <f t="shared" si="120"/>
        <v>30.01.2020</v>
      </c>
      <c r="C686" s="1" t="str">
        <f t="shared" si="121"/>
        <v>Закрито</v>
      </c>
      <c r="D686" s="1" t="str">
        <f t="shared" si="126"/>
        <v>Видача витягу з технічної документації про нормативну грошову оцінку земельної ділянки.</v>
      </c>
      <c r="E686" s="1" t="str">
        <f t="shared" si="124"/>
        <v>Земельні питання</v>
      </c>
      <c r="F686" s="1" t="str">
        <f t="shared" si="1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86" s="1" t="str">
        <f t="shared" si="127"/>
        <v>3</v>
      </c>
      <c r="H686" s="1" t="str">
        <f>"Результат"</f>
        <v>Результат</v>
      </c>
      <c r="I686" s="1" t="str">
        <f t="shared" si="119"/>
        <v>Позитивний</v>
      </c>
      <c r="J686" s="1" t="str">
        <f t="shared" si="128"/>
        <v>Ні</v>
      </c>
    </row>
    <row r="687" spans="1:10" ht="135" x14ac:dyDescent="0.25">
      <c r="A687" s="1" t="str">
        <f>"663-2020/27"</f>
        <v>663-2020/27</v>
      </c>
      <c r="B687" s="1" t="str">
        <f t="shared" si="120"/>
        <v>30.01.2020</v>
      </c>
      <c r="C687" s="1" t="str">
        <f t="shared" si="121"/>
        <v>Закрито</v>
      </c>
      <c r="D687" s="1" t="str">
        <f t="shared" si="126"/>
        <v>Видача витягу з технічної документації про нормативну грошову оцінку земельної ділянки.</v>
      </c>
      <c r="E687" s="1" t="str">
        <f t="shared" si="124"/>
        <v>Земельні питання</v>
      </c>
      <c r="F687" s="1" t="str">
        <f t="shared" si="1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87" s="1" t="str">
        <f t="shared" si="127"/>
        <v>3</v>
      </c>
      <c r="H687" s="1" t="str">
        <f>"Результат"</f>
        <v>Результат</v>
      </c>
      <c r="I687" s="1" t="str">
        <f t="shared" si="119"/>
        <v>Позитивний</v>
      </c>
      <c r="J687" s="1" t="str">
        <f t="shared" si="128"/>
        <v>Ні</v>
      </c>
    </row>
    <row r="688" spans="1:10" ht="135" x14ac:dyDescent="0.25">
      <c r="A688" s="1" t="str">
        <f>"684-2020/27"</f>
        <v>684-2020/27</v>
      </c>
      <c r="B688" s="1" t="str">
        <f t="shared" si="120"/>
        <v>30.01.2020</v>
      </c>
      <c r="C688" s="1" t="str">
        <f t="shared" si="121"/>
        <v>Закрито</v>
      </c>
      <c r="D688" s="1" t="str">
        <f t="shared" si="126"/>
        <v>Видача витягу з технічної документації про нормативну грошову оцінку земельної ділянки.</v>
      </c>
      <c r="E688" s="1" t="str">
        <f t="shared" si="124"/>
        <v>Земельні питання</v>
      </c>
      <c r="F688" s="1" t="str">
        <f t="shared" si="1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88" s="1" t="str">
        <f t="shared" si="127"/>
        <v>3</v>
      </c>
      <c r="H688" s="1" t="str">
        <f>"Результат"</f>
        <v>Результат</v>
      </c>
      <c r="I688" s="1" t="str">
        <f t="shared" si="119"/>
        <v>Позитивний</v>
      </c>
      <c r="J688" s="1" t="str">
        <f t="shared" si="128"/>
        <v>Ні</v>
      </c>
    </row>
    <row r="689" spans="1:10" ht="45" x14ac:dyDescent="0.25">
      <c r="A689" s="1" t="str">
        <f>"669-2020/27"</f>
        <v>669-2020/27</v>
      </c>
      <c r="B689" s="1" t="str">
        <f t="shared" si="120"/>
        <v>30.01.2020</v>
      </c>
      <c r="C689" s="1" t="str">
        <f t="shared" si="121"/>
        <v>Закрито</v>
      </c>
      <c r="D689" s="1" t="str">
        <f>"Реєстрація місця проживання особи"</f>
        <v>Реєстрація місця проживання особи</v>
      </c>
      <c r="E689" s="1" t="str">
        <f>"Реєстрація місця проживання"</f>
        <v>Реєстрація місця проживання</v>
      </c>
      <c r="F689" s="1" t="str">
        <f>"Відділ реєстрації Новокаховської міської ради"</f>
        <v>Відділ реєстрації Новокаховської міської ради</v>
      </c>
      <c r="G689" s="1" t="str">
        <f>"1"</f>
        <v>1</v>
      </c>
      <c r="H689" s="1" t="str">
        <f>"Результат"</f>
        <v>Результат</v>
      </c>
      <c r="I689" s="1" t="str">
        <f t="shared" ref="I689:I720" si="129">"Позитивний"</f>
        <v>Позитивний</v>
      </c>
      <c r="J689" s="1" t="str">
        <f>"Так"</f>
        <v>Так</v>
      </c>
    </row>
    <row r="690" spans="1:10" ht="135" x14ac:dyDescent="0.25">
      <c r="A690" s="1" t="str">
        <f>"673-2020/27"</f>
        <v>673-2020/27</v>
      </c>
      <c r="B690" s="1" t="str">
        <f t="shared" si="120"/>
        <v>30.01.2020</v>
      </c>
      <c r="C690" s="1" t="str">
        <f t="shared" si="121"/>
        <v>Закрито</v>
      </c>
      <c r="D6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690" s="1" t="str">
        <f>"Земельні питання"</f>
        <v>Земельні питання</v>
      </c>
      <c r="F6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90" s="1" t="str">
        <f>"1"</f>
        <v>1</v>
      </c>
      <c r="H690" s="1" t="str">
        <f>"Результат"</f>
        <v>Результат</v>
      </c>
      <c r="I690" s="1" t="str">
        <f t="shared" si="129"/>
        <v>Позитивний</v>
      </c>
      <c r="J690" s="1" t="str">
        <f>"Так"</f>
        <v>Так</v>
      </c>
    </row>
    <row r="691" spans="1:10" ht="150" x14ac:dyDescent="0.25">
      <c r="A691" s="1" t="str">
        <f>"705-2020/27"</f>
        <v>705-2020/27</v>
      </c>
      <c r="B691" s="1" t="str">
        <f t="shared" ref="B691:B730" si="130">"31.01.2020"</f>
        <v>31.01.2020</v>
      </c>
      <c r="C691" s="1" t="str">
        <f t="shared" si="121"/>
        <v>Закрито</v>
      </c>
      <c r="D691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691" s="1" t="str">
        <f>"Будівництво"</f>
        <v>Будівництво</v>
      </c>
      <c r="F69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691" s="1" t="str">
        <f>"10"</f>
        <v>10</v>
      </c>
      <c r="H691" s="1" t="str">
        <f>"Результат"</f>
        <v>Результат</v>
      </c>
      <c r="I691" s="1" t="str">
        <f t="shared" si="129"/>
        <v>Позитивний</v>
      </c>
      <c r="J691" s="1" t="str">
        <f>"Ні"</f>
        <v>Ні</v>
      </c>
    </row>
    <row r="692" spans="1:10" ht="135" x14ac:dyDescent="0.25">
      <c r="A692" s="1" t="str">
        <f>"724-2020/27"</f>
        <v>724-2020/27</v>
      </c>
      <c r="B692" s="1" t="str">
        <f t="shared" si="130"/>
        <v>31.01.2020</v>
      </c>
      <c r="C692" s="1" t="str">
        <f t="shared" si="121"/>
        <v>Закрито</v>
      </c>
      <c r="D69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692" s="1" t="str">
        <f>"Земельні питання"</f>
        <v>Земельні питання</v>
      </c>
      <c r="F6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92" s="1" t="str">
        <f>"14"</f>
        <v>14</v>
      </c>
      <c r="H692" s="1" t="str">
        <f>"Результат"</f>
        <v>Результат</v>
      </c>
      <c r="I692" s="1" t="str">
        <f t="shared" si="129"/>
        <v>Позитивний</v>
      </c>
      <c r="J692" s="1" t="str">
        <f>"Ні"</f>
        <v>Ні</v>
      </c>
    </row>
    <row r="693" spans="1:10" ht="45" x14ac:dyDescent="0.25">
      <c r="A693" s="1" t="str">
        <f>"719-2020/27"</f>
        <v>719-2020/27</v>
      </c>
      <c r="B693" s="1" t="str">
        <f t="shared" si="130"/>
        <v>31.01.2020</v>
      </c>
      <c r="C693" s="1" t="str">
        <f t="shared" si="121"/>
        <v>Закрито</v>
      </c>
      <c r="D693" s="1" t="str">
        <f>"Реєстрація місця проживання особи"</f>
        <v>Реєстрація місця проживання особи</v>
      </c>
      <c r="E693" s="1" t="str">
        <f>"Реєстрація місця проживання"</f>
        <v>Реєстрація місця проживання</v>
      </c>
      <c r="F693" s="1" t="str">
        <f>"Відділ реєстрації Новокаховської міської ради"</f>
        <v>Відділ реєстрації Новокаховської міської ради</v>
      </c>
      <c r="G693" s="1" t="str">
        <f>"1"</f>
        <v>1</v>
      </c>
      <c r="H693" s="1" t="str">
        <f>"Результат"</f>
        <v>Результат</v>
      </c>
      <c r="I693" s="1" t="str">
        <f t="shared" si="129"/>
        <v>Позитивний</v>
      </c>
      <c r="J693" s="1" t="str">
        <f>"Так"</f>
        <v>Так</v>
      </c>
    </row>
    <row r="694" spans="1:10" ht="45" x14ac:dyDescent="0.25">
      <c r="A694" s="1" t="str">
        <f>"715-2020/27"</f>
        <v>715-2020/27</v>
      </c>
      <c r="B694" s="1" t="str">
        <f t="shared" si="130"/>
        <v>31.01.2020</v>
      </c>
      <c r="C694" s="1" t="str">
        <f t="shared" si="121"/>
        <v>Закрито</v>
      </c>
      <c r="D694" s="1" t="str">
        <f>"Реєстрація місця проживання особи"</f>
        <v>Реєстрація місця проживання особи</v>
      </c>
      <c r="E694" s="1" t="str">
        <f>"Реєстрація місця проживання"</f>
        <v>Реєстрація місця проживання</v>
      </c>
      <c r="F694" s="1" t="str">
        <f>"Відділ реєстрації Новокаховської міської ради"</f>
        <v>Відділ реєстрації Новокаховської міської ради</v>
      </c>
      <c r="G694" s="1" t="str">
        <f>"1"</f>
        <v>1</v>
      </c>
      <c r="H694" s="1" t="str">
        <f>"Результат"</f>
        <v>Результат</v>
      </c>
      <c r="I694" s="1" t="str">
        <f t="shared" si="129"/>
        <v>Позитивний</v>
      </c>
      <c r="J694" s="1" t="str">
        <f>"Так"</f>
        <v>Так</v>
      </c>
    </row>
    <row r="695" spans="1:10" ht="45" x14ac:dyDescent="0.25">
      <c r="A695" s="1" t="str">
        <f>"718-2020/27"</f>
        <v>718-2020/27</v>
      </c>
      <c r="B695" s="1" t="str">
        <f t="shared" si="130"/>
        <v>31.01.2020</v>
      </c>
      <c r="C695" s="1" t="str">
        <f t="shared" si="121"/>
        <v>Закрито</v>
      </c>
      <c r="D695" s="1" t="str">
        <f>"Реєстрація місця проживання особи"</f>
        <v>Реєстрація місця проживання особи</v>
      </c>
      <c r="E695" s="1" t="str">
        <f>"Реєстрація місця проживання"</f>
        <v>Реєстрація місця проживання</v>
      </c>
      <c r="F695" s="1" t="str">
        <f>"Відділ реєстрації Новокаховської міської ради"</f>
        <v>Відділ реєстрації Новокаховської міської ради</v>
      </c>
      <c r="G695" s="1" t="str">
        <f>"1"</f>
        <v>1</v>
      </c>
      <c r="H695" s="1" t="str">
        <f>"Результат"</f>
        <v>Результат</v>
      </c>
      <c r="I695" s="1" t="str">
        <f t="shared" si="129"/>
        <v>Позитивний</v>
      </c>
      <c r="J695" s="1" t="str">
        <f>"Так"</f>
        <v>Так</v>
      </c>
    </row>
    <row r="696" spans="1:10" ht="135" x14ac:dyDescent="0.25">
      <c r="A696" s="1" t="str">
        <f>"700-2020/27"</f>
        <v>700-2020/27</v>
      </c>
      <c r="B696" s="1" t="str">
        <f t="shared" si="130"/>
        <v>31.01.2020</v>
      </c>
      <c r="C696" s="1" t="str">
        <f t="shared" si="121"/>
        <v>Закрито</v>
      </c>
      <c r="D69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696" s="1" t="str">
        <f>"Земельні питання"</f>
        <v>Земельні питання</v>
      </c>
      <c r="F6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696" s="1" t="str">
        <f>"3"</f>
        <v>3</v>
      </c>
      <c r="H696" s="1" t="str">
        <f>"Результат"</f>
        <v>Результат</v>
      </c>
      <c r="I696" s="1" t="str">
        <f t="shared" si="129"/>
        <v>Позитивний</v>
      </c>
      <c r="J696" s="1" t="str">
        <f>"Ні"</f>
        <v>Ні</v>
      </c>
    </row>
    <row r="697" spans="1:10" ht="45" x14ac:dyDescent="0.25">
      <c r="A697" s="1" t="str">
        <f>"711-2020/27"</f>
        <v>711-2020/27</v>
      </c>
      <c r="B697" s="1" t="str">
        <f t="shared" si="130"/>
        <v>31.01.2020</v>
      </c>
      <c r="C697" s="1" t="str">
        <f t="shared" si="121"/>
        <v>Закрито</v>
      </c>
      <c r="D697" s="1" t="str">
        <f>"Реєстрація місця проживання особи"</f>
        <v>Реєстрація місця проживання особи</v>
      </c>
      <c r="E697" s="1" t="str">
        <f>"Реєстрація місця проживання"</f>
        <v>Реєстрація місця проживання</v>
      </c>
      <c r="F697" s="1" t="str">
        <f>"Відділ реєстрації Новокаховської міської ради"</f>
        <v>Відділ реєстрації Новокаховської міської ради</v>
      </c>
      <c r="G697" s="1" t="str">
        <f>"1"</f>
        <v>1</v>
      </c>
      <c r="H697" s="1" t="str">
        <f>"Результат"</f>
        <v>Результат</v>
      </c>
      <c r="I697" s="1" t="str">
        <f t="shared" si="129"/>
        <v>Позитивний</v>
      </c>
      <c r="J697" s="1" t="str">
        <f>"Так"</f>
        <v>Так</v>
      </c>
    </row>
    <row r="698" spans="1:10" ht="45" x14ac:dyDescent="0.25">
      <c r="A698" s="1" t="str">
        <f>"708-2020/27"</f>
        <v>708-2020/27</v>
      </c>
      <c r="B698" s="1" t="str">
        <f t="shared" si="130"/>
        <v>31.01.2020</v>
      </c>
      <c r="C698" s="1" t="str">
        <f t="shared" si="121"/>
        <v>Закрито</v>
      </c>
      <c r="D698" s="1" t="str">
        <f>"Реєстрація місця проживання особи"</f>
        <v>Реєстрація місця проживання особи</v>
      </c>
      <c r="E698" s="1" t="str">
        <f>"Реєстрація місця проживання"</f>
        <v>Реєстрація місця проживання</v>
      </c>
      <c r="F698" s="1" t="str">
        <f>"Відділ реєстрації Новокаховської міської ради"</f>
        <v>Відділ реєстрації Новокаховської міської ради</v>
      </c>
      <c r="G698" s="1" t="str">
        <f>"1"</f>
        <v>1</v>
      </c>
      <c r="H698" s="1" t="str">
        <f>"Результат"</f>
        <v>Результат</v>
      </c>
      <c r="I698" s="1" t="str">
        <f t="shared" si="129"/>
        <v>Позитивний</v>
      </c>
      <c r="J698" s="1" t="str">
        <f>"Так"</f>
        <v>Так</v>
      </c>
    </row>
    <row r="699" spans="1:10" ht="45" x14ac:dyDescent="0.25">
      <c r="A699" s="1" t="str">
        <f>"717-2020/27"</f>
        <v>717-2020/27</v>
      </c>
      <c r="B699" s="1" t="str">
        <f t="shared" si="130"/>
        <v>31.01.2020</v>
      </c>
      <c r="C699" s="1" t="str">
        <f t="shared" si="121"/>
        <v>Закрито</v>
      </c>
      <c r="D699" s="1" t="str">
        <f>"Реєстрація місця проживання особи"</f>
        <v>Реєстрація місця проживання особи</v>
      </c>
      <c r="E699" s="1" t="str">
        <f>"Реєстрація місця проживання"</f>
        <v>Реєстрація місця проживання</v>
      </c>
      <c r="F699" s="1" t="str">
        <f>"Відділ реєстрації Новокаховської міської ради"</f>
        <v>Відділ реєстрації Новокаховської міської ради</v>
      </c>
      <c r="G699" s="1" t="str">
        <f>"1"</f>
        <v>1</v>
      </c>
      <c r="H699" s="1" t="str">
        <f>"Результат"</f>
        <v>Результат</v>
      </c>
      <c r="I699" s="1" t="str">
        <f t="shared" si="129"/>
        <v>Позитивний</v>
      </c>
      <c r="J699" s="1" t="str">
        <f>"Так"</f>
        <v>Так</v>
      </c>
    </row>
    <row r="700" spans="1:10" ht="135" x14ac:dyDescent="0.25">
      <c r="A700" s="1" t="str">
        <f>"689-2020/27"</f>
        <v>689-2020/27</v>
      </c>
      <c r="B700" s="1" t="str">
        <f t="shared" si="130"/>
        <v>31.01.2020</v>
      </c>
      <c r="C700" s="1" t="str">
        <f t="shared" si="121"/>
        <v>Закрито</v>
      </c>
      <c r="D7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00" s="1" t="str">
        <f>"Земельні питання"</f>
        <v>Земельні питання</v>
      </c>
      <c r="F7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00" s="1" t="str">
        <f>"3"</f>
        <v>3</v>
      </c>
      <c r="H700" s="1" t="str">
        <f>"Результат"</f>
        <v>Результат</v>
      </c>
      <c r="I700" s="1" t="str">
        <f t="shared" si="129"/>
        <v>Позитивний</v>
      </c>
      <c r="J700" s="1" t="str">
        <f>"Ні"</f>
        <v>Ні</v>
      </c>
    </row>
    <row r="701" spans="1:10" ht="135" x14ac:dyDescent="0.25">
      <c r="A701" s="1" t="str">
        <f>"702-2020/27"</f>
        <v>702-2020/27</v>
      </c>
      <c r="B701" s="1" t="str">
        <f t="shared" si="130"/>
        <v>31.01.2020</v>
      </c>
      <c r="C701" s="1" t="str">
        <f t="shared" si="121"/>
        <v>Закрито</v>
      </c>
      <c r="D70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701" s="1" t="str">
        <f>"Земельні питання"</f>
        <v>Земельні питання</v>
      </c>
      <c r="F7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01" s="1" t="str">
        <f>"14"</f>
        <v>14</v>
      </c>
      <c r="H701" s="1" t="str">
        <f>"Результат"</f>
        <v>Результат</v>
      </c>
      <c r="I701" s="1" t="str">
        <f t="shared" si="129"/>
        <v>Позитивний</v>
      </c>
      <c r="J701" s="1" t="str">
        <f>"Ні"</f>
        <v>Ні</v>
      </c>
    </row>
    <row r="702" spans="1:10" ht="135" x14ac:dyDescent="0.25">
      <c r="A702" s="1" t="str">
        <f>"710-2020/27"</f>
        <v>710-2020/27</v>
      </c>
      <c r="B702" s="1" t="str">
        <f t="shared" si="130"/>
        <v>31.01.2020</v>
      </c>
      <c r="C702" s="1" t="str">
        <f t="shared" si="121"/>
        <v>Закрито</v>
      </c>
      <c r="D7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02" s="1" t="str">
        <f>"Земельні питання"</f>
        <v>Земельні питання</v>
      </c>
      <c r="F7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02" s="1" t="str">
        <f>"3"</f>
        <v>3</v>
      </c>
      <c r="H702" s="1" t="str">
        <f>"Результат"</f>
        <v>Результат</v>
      </c>
      <c r="I702" s="1" t="str">
        <f t="shared" si="129"/>
        <v>Позитивний</v>
      </c>
      <c r="J702" s="1" t="str">
        <f>"Ні"</f>
        <v>Ні</v>
      </c>
    </row>
    <row r="703" spans="1:10" ht="45" x14ac:dyDescent="0.25">
      <c r="A703" s="1" t="str">
        <f>"720-2020/27"</f>
        <v>720-2020/27</v>
      </c>
      <c r="B703" s="1" t="str">
        <f t="shared" si="130"/>
        <v>31.01.2020</v>
      </c>
      <c r="C703" s="1" t="str">
        <f t="shared" si="121"/>
        <v>Закрито</v>
      </c>
      <c r="D703" s="1" t="str">
        <f>"Реєстрація місця проживання особи"</f>
        <v>Реєстрація місця проживання особи</v>
      </c>
      <c r="E703" s="1" t="str">
        <f>"Реєстрація місця проживання"</f>
        <v>Реєстрація місця проживання</v>
      </c>
      <c r="F703" s="1" t="str">
        <f>"Відділ реєстрації Новокаховської міської ради"</f>
        <v>Відділ реєстрації Новокаховської міської ради</v>
      </c>
      <c r="G703" s="1" t="str">
        <f>"1"</f>
        <v>1</v>
      </c>
      <c r="H703" s="1" t="str">
        <f>"Результат"</f>
        <v>Результат</v>
      </c>
      <c r="I703" s="1" t="str">
        <f t="shared" si="129"/>
        <v>Позитивний</v>
      </c>
      <c r="J703" s="1" t="str">
        <f>"Так"</f>
        <v>Так</v>
      </c>
    </row>
    <row r="704" spans="1:10" ht="45" x14ac:dyDescent="0.25">
      <c r="A704" s="1" t="str">
        <f>"695-2020/27"</f>
        <v>695-2020/27</v>
      </c>
      <c r="B704" s="1" t="str">
        <f t="shared" si="130"/>
        <v>31.01.2020</v>
      </c>
      <c r="C704" s="1" t="str">
        <f t="shared" si="121"/>
        <v>Закрито</v>
      </c>
      <c r="D704" s="1" t="str">
        <f>"Реєстрація місця проживання особи"</f>
        <v>Реєстрація місця проживання особи</v>
      </c>
      <c r="E704" s="1" t="str">
        <f>"Реєстрація місця проживання"</f>
        <v>Реєстрація місця проживання</v>
      </c>
      <c r="F704" s="1" t="str">
        <f>"Відділ реєстрації Новокаховської міської ради"</f>
        <v>Відділ реєстрації Новокаховської міської ради</v>
      </c>
      <c r="G704" s="1" t="str">
        <f>"1"</f>
        <v>1</v>
      </c>
      <c r="H704" s="1" t="str">
        <f>"Результат"</f>
        <v>Результат</v>
      </c>
      <c r="I704" s="1" t="str">
        <f t="shared" si="129"/>
        <v>Позитивний</v>
      </c>
      <c r="J704" s="1" t="str">
        <f>"Так"</f>
        <v>Так</v>
      </c>
    </row>
    <row r="705" spans="1:10" ht="135" x14ac:dyDescent="0.25">
      <c r="A705" s="1" t="str">
        <f>"714-2020/27"</f>
        <v>714-2020/27</v>
      </c>
      <c r="B705" s="1" t="str">
        <f t="shared" si="130"/>
        <v>31.01.2020</v>
      </c>
      <c r="C705" s="1" t="str">
        <f t="shared" si="121"/>
        <v>Закрито</v>
      </c>
      <c r="D70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705" s="1" t="str">
        <f>"Земельні питання"</f>
        <v>Земельні питання</v>
      </c>
      <c r="F7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05" s="1" t="str">
        <f>"14"</f>
        <v>14</v>
      </c>
      <c r="H705" s="1" t="str">
        <f>"Результат"</f>
        <v>Результат</v>
      </c>
      <c r="I705" s="1" t="str">
        <f t="shared" si="129"/>
        <v>Позитивний</v>
      </c>
      <c r="J705" s="1" t="str">
        <f>"Ні"</f>
        <v>Ні</v>
      </c>
    </row>
    <row r="706" spans="1:10" ht="45" x14ac:dyDescent="0.25">
      <c r="A706" s="1" t="str">
        <f>"698-2020/27"</f>
        <v>698-2020/27</v>
      </c>
      <c r="B706" s="1" t="str">
        <f t="shared" si="130"/>
        <v>31.01.2020</v>
      </c>
      <c r="C706" s="1" t="str">
        <f t="shared" si="121"/>
        <v>Закрито</v>
      </c>
      <c r="D706" s="1" t="str">
        <f>"Реєстрація місця проживання особи"</f>
        <v>Реєстрація місця проживання особи</v>
      </c>
      <c r="E706" s="1" t="str">
        <f>"Реєстрація місця проживання"</f>
        <v>Реєстрація місця проживання</v>
      </c>
      <c r="F706" s="1" t="str">
        <f>"Відділ реєстрації Новокаховської міської ради"</f>
        <v>Відділ реєстрації Новокаховської міської ради</v>
      </c>
      <c r="G706" s="1" t="str">
        <f>"1"</f>
        <v>1</v>
      </c>
      <c r="H706" s="1" t="str">
        <f>"Результат"</f>
        <v>Результат</v>
      </c>
      <c r="I706" s="1" t="str">
        <f t="shared" si="129"/>
        <v>Позитивний</v>
      </c>
      <c r="J706" s="1" t="str">
        <f>"Так"</f>
        <v>Так</v>
      </c>
    </row>
    <row r="707" spans="1:10" ht="45" x14ac:dyDescent="0.25">
      <c r="A707" s="1" t="str">
        <f>"696-2020/27"</f>
        <v>696-2020/27</v>
      </c>
      <c r="B707" s="1" t="str">
        <f t="shared" si="130"/>
        <v>31.01.2020</v>
      </c>
      <c r="C707" s="1" t="str">
        <f t="shared" si="121"/>
        <v>Закрито</v>
      </c>
      <c r="D707" s="1" t="str">
        <f>"Реєстрація місця проживання особи"</f>
        <v>Реєстрація місця проживання особи</v>
      </c>
      <c r="E707" s="1" t="str">
        <f>"Реєстрація місця проживання"</f>
        <v>Реєстрація місця проживання</v>
      </c>
      <c r="F707" s="1" t="str">
        <f>"Відділ реєстрації Новокаховської міської ради"</f>
        <v>Відділ реєстрації Новокаховської міської ради</v>
      </c>
      <c r="G707" s="1" t="str">
        <f>"1"</f>
        <v>1</v>
      </c>
      <c r="H707" s="1" t="str">
        <f>"Результат"</f>
        <v>Результат</v>
      </c>
      <c r="I707" s="1" t="str">
        <f t="shared" si="129"/>
        <v>Позитивний</v>
      </c>
      <c r="J707" s="1" t="str">
        <f>"Так"</f>
        <v>Так</v>
      </c>
    </row>
    <row r="708" spans="1:10" ht="90" x14ac:dyDescent="0.25">
      <c r="A708" s="1" t="str">
        <f>"701-2020/27"</f>
        <v>701-2020/27</v>
      </c>
      <c r="B708" s="1" t="str">
        <f t="shared" si="130"/>
        <v>31.01.2020</v>
      </c>
      <c r="C708" s="1" t="str">
        <f t="shared" si="121"/>
        <v>Закрито</v>
      </c>
      <c r="D70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08" s="1" t="str">
        <f>"Інші послуги"</f>
        <v>Інші послуги</v>
      </c>
      <c r="F70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08" s="1" t="str">
        <f>"5"</f>
        <v>5</v>
      </c>
      <c r="H708" s="1" t="str">
        <f>"Результат"</f>
        <v>Результат</v>
      </c>
      <c r="I708" s="1" t="str">
        <f t="shared" si="129"/>
        <v>Позитивний</v>
      </c>
      <c r="J708" s="1" t="str">
        <f>"Ні"</f>
        <v>Ні</v>
      </c>
    </row>
    <row r="709" spans="1:10" ht="225" x14ac:dyDescent="0.25">
      <c r="A709" s="1" t="str">
        <f>"722-2020/27"</f>
        <v>722-2020/27</v>
      </c>
      <c r="B709" s="1" t="str">
        <f t="shared" si="130"/>
        <v>31.01.2020</v>
      </c>
      <c r="C709" s="1" t="str">
        <f t="shared" si="121"/>
        <v>Закрито</v>
      </c>
      <c r="D709" s="1" t="s">
        <v>1</v>
      </c>
      <c r="E709" s="1" t="str">
        <f>"Будівництво"</f>
        <v>Будівництво</v>
      </c>
      <c r="F70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709" s="1" t="str">
        <f>"30"</f>
        <v>30</v>
      </c>
      <c r="H709" s="1" t="str">
        <f>"Результат"</f>
        <v>Результат</v>
      </c>
      <c r="I709" s="1" t="str">
        <f t="shared" si="129"/>
        <v>Позитивний</v>
      </c>
      <c r="J709" s="1" t="str">
        <f>"Ні"</f>
        <v>Ні</v>
      </c>
    </row>
    <row r="710" spans="1:10" ht="45" x14ac:dyDescent="0.25">
      <c r="A710" s="1" t="str">
        <f>"713-2020/27"</f>
        <v>713-2020/27</v>
      </c>
      <c r="B710" s="1" t="str">
        <f t="shared" si="130"/>
        <v>31.01.2020</v>
      </c>
      <c r="C710" s="1" t="str">
        <f t="shared" si="121"/>
        <v>Закрито</v>
      </c>
      <c r="D710" s="1" t="str">
        <f>"Реєстрація місця проживання особи"</f>
        <v>Реєстрація місця проживання особи</v>
      </c>
      <c r="E710" s="1" t="str">
        <f>"Реєстрація місця проживання"</f>
        <v>Реєстрація місця проживання</v>
      </c>
      <c r="F710" s="1" t="str">
        <f>"Відділ реєстрації Новокаховської міської ради"</f>
        <v>Відділ реєстрації Новокаховської міської ради</v>
      </c>
      <c r="G710" s="1" t="str">
        <f>"1"</f>
        <v>1</v>
      </c>
      <c r="H710" s="1" t="str">
        <f>"Результат"</f>
        <v>Результат</v>
      </c>
      <c r="I710" s="1" t="str">
        <f t="shared" si="129"/>
        <v>Позитивний</v>
      </c>
      <c r="J710" s="1" t="str">
        <f>"Так"</f>
        <v>Так</v>
      </c>
    </row>
    <row r="711" spans="1:10" ht="135" x14ac:dyDescent="0.25">
      <c r="A711" s="1" t="str">
        <f>"686-2020/27"</f>
        <v>686-2020/27</v>
      </c>
      <c r="B711" s="1" t="str">
        <f t="shared" si="130"/>
        <v>31.01.2020</v>
      </c>
      <c r="C711" s="1" t="str">
        <f t="shared" si="121"/>
        <v>Закрито</v>
      </c>
      <c r="D7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11" s="1" t="str">
        <f>"Земельні питання"</f>
        <v>Земельні питання</v>
      </c>
      <c r="F7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11" s="1" t="str">
        <f>"3"</f>
        <v>3</v>
      </c>
      <c r="H711" s="1" t="str">
        <f>"Результат"</f>
        <v>Результат</v>
      </c>
      <c r="I711" s="1" t="str">
        <f t="shared" si="129"/>
        <v>Позитивний</v>
      </c>
      <c r="J711" s="1" t="str">
        <f>"Ні"</f>
        <v>Ні</v>
      </c>
    </row>
    <row r="712" spans="1:10" ht="135" x14ac:dyDescent="0.25">
      <c r="A712" s="1" t="str">
        <f>"690-2020/27"</f>
        <v>690-2020/27</v>
      </c>
      <c r="B712" s="1" t="str">
        <f t="shared" si="130"/>
        <v>31.01.2020</v>
      </c>
      <c r="C712" s="1" t="str">
        <f t="shared" si="121"/>
        <v>Закрито</v>
      </c>
      <c r="D7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12" s="1" t="str">
        <f>"Земельні питання"</f>
        <v>Земельні питання</v>
      </c>
      <c r="F7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12" s="1" t="str">
        <f>"3"</f>
        <v>3</v>
      </c>
      <c r="H712" s="1" t="str">
        <f>"Результат"</f>
        <v>Результат</v>
      </c>
      <c r="I712" s="1" t="str">
        <f t="shared" si="129"/>
        <v>Позитивний</v>
      </c>
      <c r="J712" s="1" t="str">
        <f>"Ні"</f>
        <v>Ні</v>
      </c>
    </row>
    <row r="713" spans="1:10" ht="45" x14ac:dyDescent="0.25">
      <c r="A713" s="1" t="str">
        <f>"712-2020/27"</f>
        <v>712-2020/27</v>
      </c>
      <c r="B713" s="1" t="str">
        <f t="shared" si="130"/>
        <v>31.01.2020</v>
      </c>
      <c r="C713" s="1" t="str">
        <f t="shared" si="121"/>
        <v>Закрито</v>
      </c>
      <c r="D713" s="1" t="str">
        <f>"Реєстрація місця проживання особи"</f>
        <v>Реєстрація місця проживання особи</v>
      </c>
      <c r="E713" s="1" t="str">
        <f>"Реєстрація місця проживання"</f>
        <v>Реєстрація місця проживання</v>
      </c>
      <c r="F713" s="1" t="str">
        <f>"Відділ реєстрації Новокаховської міської ради"</f>
        <v>Відділ реєстрації Новокаховської міської ради</v>
      </c>
      <c r="G713" s="1" t="str">
        <f>"1"</f>
        <v>1</v>
      </c>
      <c r="H713" s="1" t="str">
        <f>"Результат"</f>
        <v>Результат</v>
      </c>
      <c r="I713" s="1" t="str">
        <f t="shared" si="129"/>
        <v>Позитивний</v>
      </c>
      <c r="J713" s="1" t="str">
        <f>"Так"</f>
        <v>Так</v>
      </c>
    </row>
    <row r="714" spans="1:10" ht="135" x14ac:dyDescent="0.25">
      <c r="A714" s="1" t="str">
        <f>"691-2020/27"</f>
        <v>691-2020/27</v>
      </c>
      <c r="B714" s="1" t="str">
        <f t="shared" si="130"/>
        <v>31.01.2020</v>
      </c>
      <c r="C714" s="1" t="str">
        <f t="shared" si="121"/>
        <v>Закрито</v>
      </c>
      <c r="D71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14" s="1" t="str">
        <f>"Земельні питання"</f>
        <v>Земельні питання</v>
      </c>
      <c r="F7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14" s="1" t="str">
        <f>"3"</f>
        <v>3</v>
      </c>
      <c r="H714" s="1" t="str">
        <f>"Результат"</f>
        <v>Результат</v>
      </c>
      <c r="I714" s="1" t="str">
        <f t="shared" si="129"/>
        <v>Позитивний</v>
      </c>
      <c r="J714" s="1" t="str">
        <f>"Ні"</f>
        <v>Ні</v>
      </c>
    </row>
    <row r="715" spans="1:10" ht="90" x14ac:dyDescent="0.25">
      <c r="A715" s="1" t="str">
        <f>"725-2020/27"</f>
        <v>725-2020/27</v>
      </c>
      <c r="B715" s="1" t="str">
        <f t="shared" si="130"/>
        <v>31.01.2020</v>
      </c>
      <c r="C715" s="1" t="str">
        <f t="shared" si="121"/>
        <v>Закрито</v>
      </c>
      <c r="D71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15" s="1" t="str">
        <f>"Інші послуги"</f>
        <v>Інші послуги</v>
      </c>
      <c r="F71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15" s="1" t="str">
        <f>"5"</f>
        <v>5</v>
      </c>
      <c r="H715" s="1" t="str">
        <f>"Результат"</f>
        <v>Результат</v>
      </c>
      <c r="I715" s="1" t="str">
        <f t="shared" si="129"/>
        <v>Позитивний</v>
      </c>
      <c r="J715" s="1" t="str">
        <f>"Ні"</f>
        <v>Ні</v>
      </c>
    </row>
    <row r="716" spans="1:10" ht="45" x14ac:dyDescent="0.25">
      <c r="A716" s="1" t="str">
        <f>"704-2020/27"</f>
        <v>704-2020/27</v>
      </c>
      <c r="B716" s="1" t="str">
        <f t="shared" si="130"/>
        <v>31.01.2020</v>
      </c>
      <c r="C716" s="1" t="str">
        <f t="shared" si="121"/>
        <v>Закрито</v>
      </c>
      <c r="D716" s="1" t="str">
        <f>"Зняття з реєстрації місця проживання"</f>
        <v>Зняття з реєстрації місця проживання</v>
      </c>
      <c r="E716" s="1" t="str">
        <f>"Реєстрація місця проживання"</f>
        <v>Реєстрація місця проживання</v>
      </c>
      <c r="F716" s="1" t="str">
        <f>"Відділ реєстрації Новокаховської міської ради"</f>
        <v>Відділ реєстрації Новокаховської міської ради</v>
      </c>
      <c r="G716" s="1" t="str">
        <f>"1"</f>
        <v>1</v>
      </c>
      <c r="H716" s="1" t="str">
        <f>"Результат"</f>
        <v>Результат</v>
      </c>
      <c r="I716" s="1" t="str">
        <f t="shared" si="129"/>
        <v>Позитивний</v>
      </c>
      <c r="J716" s="1" t="str">
        <f>"Так"</f>
        <v>Так</v>
      </c>
    </row>
    <row r="717" spans="1:10" ht="135" x14ac:dyDescent="0.25">
      <c r="A717" s="1" t="str">
        <f>"692-2020/27"</f>
        <v>692-2020/27</v>
      </c>
      <c r="B717" s="1" t="str">
        <f t="shared" si="130"/>
        <v>31.01.2020</v>
      </c>
      <c r="C717" s="1" t="str">
        <f t="shared" si="121"/>
        <v>Закрито</v>
      </c>
      <c r="D71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17" s="1" t="str">
        <f>"Земельні питання"</f>
        <v>Земельні питання</v>
      </c>
      <c r="F7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17" s="1" t="str">
        <f>"3"</f>
        <v>3</v>
      </c>
      <c r="H717" s="1" t="str">
        <f>"Результат"</f>
        <v>Результат</v>
      </c>
      <c r="I717" s="1" t="str">
        <f t="shared" si="129"/>
        <v>Позитивний</v>
      </c>
      <c r="J717" s="1" t="str">
        <f>"Ні"</f>
        <v>Ні</v>
      </c>
    </row>
    <row r="718" spans="1:10" ht="45" x14ac:dyDescent="0.25">
      <c r="A718" s="1" t="str">
        <f>"707-2020/27"</f>
        <v>707-2020/27</v>
      </c>
      <c r="B718" s="1" t="str">
        <f t="shared" si="130"/>
        <v>31.01.2020</v>
      </c>
      <c r="C718" s="1" t="str">
        <f t="shared" si="121"/>
        <v>Закрито</v>
      </c>
      <c r="D718" s="1" t="str">
        <f>"Реєстрація місця проживання особи"</f>
        <v>Реєстрація місця проживання особи</v>
      </c>
      <c r="E718" s="1" t="str">
        <f>"Реєстрація місця проживання"</f>
        <v>Реєстрація місця проживання</v>
      </c>
      <c r="F718" s="1" t="str">
        <f>"Відділ реєстрації Новокаховської міської ради"</f>
        <v>Відділ реєстрації Новокаховської міської ради</v>
      </c>
      <c r="G718" s="1" t="str">
        <f>"1"</f>
        <v>1</v>
      </c>
      <c r="H718" s="1" t="str">
        <f>"Результат"</f>
        <v>Результат</v>
      </c>
      <c r="I718" s="1" t="str">
        <f t="shared" si="129"/>
        <v>Позитивний</v>
      </c>
      <c r="J718" s="1" t="str">
        <f>"Так"</f>
        <v>Так</v>
      </c>
    </row>
    <row r="719" spans="1:10" ht="135" x14ac:dyDescent="0.25">
      <c r="A719" s="1" t="str">
        <f>"703-2020/27"</f>
        <v>703-2020/27</v>
      </c>
      <c r="B719" s="1" t="str">
        <f t="shared" si="130"/>
        <v>31.01.2020</v>
      </c>
      <c r="C719" s="1" t="str">
        <f t="shared" si="121"/>
        <v>Закрито</v>
      </c>
      <c r="D71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719" s="1" t="str">
        <f>"Земельні питання"</f>
        <v>Земельні питання</v>
      </c>
      <c r="F7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19" s="1" t="str">
        <f>"14"</f>
        <v>14</v>
      </c>
      <c r="H719" s="1" t="str">
        <f>"Результат"</f>
        <v>Результат</v>
      </c>
      <c r="I719" s="1" t="str">
        <f t="shared" si="129"/>
        <v>Позитивний</v>
      </c>
      <c r="J719" s="1" t="str">
        <f>"Ні"</f>
        <v>Ні</v>
      </c>
    </row>
    <row r="720" spans="1:10" ht="135" x14ac:dyDescent="0.25">
      <c r="A720" s="1" t="str">
        <f>"687-2020/27"</f>
        <v>687-2020/27</v>
      </c>
      <c r="B720" s="1" t="str">
        <f t="shared" si="130"/>
        <v>31.01.2020</v>
      </c>
      <c r="C720" s="1" t="str">
        <f t="shared" si="121"/>
        <v>Закрито</v>
      </c>
      <c r="D72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20" s="1" t="str">
        <f>"Земельні питання"</f>
        <v>Земельні питання</v>
      </c>
      <c r="F7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20" s="1" t="str">
        <f>"3"</f>
        <v>3</v>
      </c>
      <c r="H720" s="1" t="str">
        <f>"Результат"</f>
        <v>Результат</v>
      </c>
      <c r="I720" s="1" t="str">
        <f t="shared" si="129"/>
        <v>Позитивний</v>
      </c>
      <c r="J720" s="1" t="str">
        <f>"Ні"</f>
        <v>Ні</v>
      </c>
    </row>
    <row r="721" spans="1:10" ht="135" x14ac:dyDescent="0.25">
      <c r="A721" s="1" t="str">
        <f>"693-2020/27"</f>
        <v>693-2020/27</v>
      </c>
      <c r="B721" s="1" t="str">
        <f t="shared" si="130"/>
        <v>31.01.2020</v>
      </c>
      <c r="C721" s="1" t="str">
        <f t="shared" si="121"/>
        <v>Закрито</v>
      </c>
      <c r="D72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21" s="1" t="str">
        <f>"Земельні питання"</f>
        <v>Земельні питання</v>
      </c>
      <c r="F7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21" s="1" t="str">
        <f>"3"</f>
        <v>3</v>
      </c>
      <c r="H721" s="1" t="str">
        <f>"Результат"</f>
        <v>Результат</v>
      </c>
      <c r="I721" s="1" t="str">
        <f t="shared" ref="I721:I732" si="131">"Позитивний"</f>
        <v>Позитивний</v>
      </c>
      <c r="J721" s="1" t="str">
        <f>"Ні"</f>
        <v>Ні</v>
      </c>
    </row>
    <row r="722" spans="1:10" ht="45" x14ac:dyDescent="0.25">
      <c r="A722" s="1" t="str">
        <f>"694-2020/27"</f>
        <v>694-2020/27</v>
      </c>
      <c r="B722" s="1" t="str">
        <f t="shared" si="130"/>
        <v>31.01.2020</v>
      </c>
      <c r="C722" s="1" t="str">
        <f t="shared" si="121"/>
        <v>Закрито</v>
      </c>
      <c r="D722" s="1" t="str">
        <f>"Реєстрація місця проживання особи"</f>
        <v>Реєстрація місця проживання особи</v>
      </c>
      <c r="E722" s="1" t="str">
        <f>"Реєстрація місця проживання"</f>
        <v>Реєстрація місця проживання</v>
      </c>
      <c r="F722" s="1" t="str">
        <f>"Відділ реєстрації Новокаховської міської ради"</f>
        <v>Відділ реєстрації Новокаховської міської ради</v>
      </c>
      <c r="G722" s="1" t="str">
        <f>"1"</f>
        <v>1</v>
      </c>
      <c r="H722" s="1" t="str">
        <f>"Результат"</f>
        <v>Результат</v>
      </c>
      <c r="I722" s="1" t="str">
        <f t="shared" si="131"/>
        <v>Позитивний</v>
      </c>
      <c r="J722" s="1" t="str">
        <f>"Так"</f>
        <v>Так</v>
      </c>
    </row>
    <row r="723" spans="1:10" ht="135" x14ac:dyDescent="0.25">
      <c r="A723" s="1" t="str">
        <f>"723-2020/27"</f>
        <v>723-2020/27</v>
      </c>
      <c r="B723" s="1" t="str">
        <f t="shared" si="130"/>
        <v>31.01.2020</v>
      </c>
      <c r="C723" s="1" t="str">
        <f t="shared" si="121"/>
        <v>Закрито</v>
      </c>
      <c r="D723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723" s="1" t="str">
        <f>"Земельні питання"</f>
        <v>Земельні питання</v>
      </c>
      <c r="F7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23" s="1" t="str">
        <f>"14"</f>
        <v>14</v>
      </c>
      <c r="H723" s="1" t="str">
        <f>"Результат"</f>
        <v>Результат</v>
      </c>
      <c r="I723" s="1" t="str">
        <f t="shared" si="131"/>
        <v>Позитивний</v>
      </c>
      <c r="J723" s="1" t="str">
        <f>"Ні"</f>
        <v>Ні</v>
      </c>
    </row>
    <row r="724" spans="1:10" ht="45" x14ac:dyDescent="0.25">
      <c r="A724" s="1" t="str">
        <f>"721-2020/27"</f>
        <v>721-2020/27</v>
      </c>
      <c r="B724" s="1" t="str">
        <f t="shared" si="130"/>
        <v>31.01.2020</v>
      </c>
      <c r="C724" s="1" t="str">
        <f t="shared" si="121"/>
        <v>Закрито</v>
      </c>
      <c r="D724" s="1" t="str">
        <f>"Реєстрація місця проживання особи"</f>
        <v>Реєстрація місця проживання особи</v>
      </c>
      <c r="E724" s="1" t="str">
        <f>"Реєстрація місця проживання"</f>
        <v>Реєстрація місця проживання</v>
      </c>
      <c r="F724" s="1" t="str">
        <f>"Відділ реєстрації Новокаховської міської ради"</f>
        <v>Відділ реєстрації Новокаховської міської ради</v>
      </c>
      <c r="G724" s="1" t="str">
        <f>"1"</f>
        <v>1</v>
      </c>
      <c r="H724" s="1" t="str">
        <f>"Результат"</f>
        <v>Результат</v>
      </c>
      <c r="I724" s="1" t="str">
        <f t="shared" si="131"/>
        <v>Позитивний</v>
      </c>
      <c r="J724" s="1" t="str">
        <f>"Так"</f>
        <v>Так</v>
      </c>
    </row>
    <row r="725" spans="1:10" ht="45" x14ac:dyDescent="0.25">
      <c r="A725" s="1" t="str">
        <f>"709-2020/27"</f>
        <v>709-2020/27</v>
      </c>
      <c r="B725" s="1" t="str">
        <f t="shared" si="130"/>
        <v>31.01.2020</v>
      </c>
      <c r="C725" s="1" t="str">
        <f t="shared" si="121"/>
        <v>Закрито</v>
      </c>
      <c r="D725" s="1" t="str">
        <f>"Реєстрація місця проживання особи"</f>
        <v>Реєстрація місця проживання особи</v>
      </c>
      <c r="E725" s="1" t="str">
        <f>"Реєстрація місця проживання"</f>
        <v>Реєстрація місця проживання</v>
      </c>
      <c r="F725" s="1" t="str">
        <f>"Відділ реєстрації Новокаховської міської ради"</f>
        <v>Відділ реєстрації Новокаховської міської ради</v>
      </c>
      <c r="G725" s="1" t="str">
        <f>"1"</f>
        <v>1</v>
      </c>
      <c r="H725" s="1" t="str">
        <f>"Результат"</f>
        <v>Результат</v>
      </c>
      <c r="I725" s="1" t="str">
        <f t="shared" si="131"/>
        <v>Позитивний</v>
      </c>
      <c r="J725" s="1" t="str">
        <f>"Так"</f>
        <v>Так</v>
      </c>
    </row>
    <row r="726" spans="1:10" ht="135" x14ac:dyDescent="0.25">
      <c r="A726" s="1" t="str">
        <f>"688-2020/27"</f>
        <v>688-2020/27</v>
      </c>
      <c r="B726" s="1" t="str">
        <f t="shared" si="130"/>
        <v>31.01.2020</v>
      </c>
      <c r="C726" s="1" t="str">
        <f t="shared" si="121"/>
        <v>Закрито</v>
      </c>
      <c r="D72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26" s="1" t="str">
        <f>"Земельні питання"</f>
        <v>Земельні питання</v>
      </c>
      <c r="F7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26" s="1" t="str">
        <f>"3"</f>
        <v>3</v>
      </c>
      <c r="H726" s="1" t="str">
        <f>"Результат"</f>
        <v>Результат</v>
      </c>
      <c r="I726" s="1" t="str">
        <f t="shared" si="131"/>
        <v>Позитивний</v>
      </c>
      <c r="J726" s="1" t="str">
        <f>"Ні"</f>
        <v>Ні</v>
      </c>
    </row>
    <row r="727" spans="1:10" ht="45" x14ac:dyDescent="0.25">
      <c r="A727" s="1" t="str">
        <f>"716-2020/27"</f>
        <v>716-2020/27</v>
      </c>
      <c r="B727" s="1" t="str">
        <f t="shared" si="130"/>
        <v>31.01.2020</v>
      </c>
      <c r="C727" s="1" t="str">
        <f t="shared" si="121"/>
        <v>Закрито</v>
      </c>
      <c r="D727" s="1" t="str">
        <f>"Реєстрація місця проживання особи"</f>
        <v>Реєстрація місця проживання особи</v>
      </c>
      <c r="E727" s="1" t="str">
        <f>"Реєстрація місця проживання"</f>
        <v>Реєстрація місця проживання</v>
      </c>
      <c r="F727" s="1" t="str">
        <f>"Відділ реєстрації Новокаховської міської ради"</f>
        <v>Відділ реєстрації Новокаховської міської ради</v>
      </c>
      <c r="G727" s="1" t="str">
        <f>"1"</f>
        <v>1</v>
      </c>
      <c r="H727" s="1" t="str">
        <f>"Результат"</f>
        <v>Результат</v>
      </c>
      <c r="I727" s="1" t="str">
        <f t="shared" si="131"/>
        <v>Позитивний</v>
      </c>
      <c r="J727" s="1" t="str">
        <f>"Так"</f>
        <v>Так</v>
      </c>
    </row>
    <row r="728" spans="1:10" ht="90" x14ac:dyDescent="0.25">
      <c r="A728" s="1" t="str">
        <f>"706-2020/27"</f>
        <v>706-2020/27</v>
      </c>
      <c r="B728" s="1" t="str">
        <f t="shared" si="130"/>
        <v>31.01.2020</v>
      </c>
      <c r="C728" s="1" t="str">
        <f t="shared" si="121"/>
        <v>Закрито</v>
      </c>
      <c r="D72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28" s="1" t="str">
        <f>"Інші послуги"</f>
        <v>Інші послуги</v>
      </c>
      <c r="F72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28" s="1" t="str">
        <f>"5"</f>
        <v>5</v>
      </c>
      <c r="H728" s="1" t="str">
        <f>"Результат"</f>
        <v>Результат</v>
      </c>
      <c r="I728" s="1" t="str">
        <f t="shared" si="131"/>
        <v>Позитивний</v>
      </c>
      <c r="J728" s="1" t="str">
        <f>"Ні"</f>
        <v>Ні</v>
      </c>
    </row>
    <row r="729" spans="1:10" ht="45" x14ac:dyDescent="0.25">
      <c r="A729" s="1" t="str">
        <f>"699-2020/27"</f>
        <v>699-2020/27</v>
      </c>
      <c r="B729" s="1" t="str">
        <f t="shared" si="130"/>
        <v>31.01.2020</v>
      </c>
      <c r="C729" s="1" t="str">
        <f t="shared" si="121"/>
        <v>Закрито</v>
      </c>
      <c r="D729" s="1" t="str">
        <f>"Реєстрація місця проживання особи"</f>
        <v>Реєстрація місця проживання особи</v>
      </c>
      <c r="E729" s="1" t="str">
        <f>"Реєстрація місця проживання"</f>
        <v>Реєстрація місця проживання</v>
      </c>
      <c r="F729" s="1" t="str">
        <f>"Відділ реєстрації Новокаховської міської ради"</f>
        <v>Відділ реєстрації Новокаховської міської ради</v>
      </c>
      <c r="G729" s="1" t="str">
        <f>"1"</f>
        <v>1</v>
      </c>
      <c r="H729" s="1" t="str">
        <f>"Результат"</f>
        <v>Результат</v>
      </c>
      <c r="I729" s="1" t="str">
        <f t="shared" si="131"/>
        <v>Позитивний</v>
      </c>
      <c r="J729" s="1" t="str">
        <f>"Так"</f>
        <v>Так</v>
      </c>
    </row>
    <row r="730" spans="1:10" ht="45" x14ac:dyDescent="0.25">
      <c r="A730" s="1" t="str">
        <f>"697-2020/27"</f>
        <v>697-2020/27</v>
      </c>
      <c r="B730" s="1" t="str">
        <f t="shared" si="130"/>
        <v>31.01.2020</v>
      </c>
      <c r="C730" s="1" t="str">
        <f t="shared" si="121"/>
        <v>Закрито</v>
      </c>
      <c r="D730" s="1" t="str">
        <f>"Реєстрація місця проживання особи"</f>
        <v>Реєстрація місця проживання особи</v>
      </c>
      <c r="E730" s="1" t="str">
        <f>"Реєстрація місця проживання"</f>
        <v>Реєстрація місця проживання</v>
      </c>
      <c r="F730" s="1" t="str">
        <f>"Відділ реєстрації Новокаховської міської ради"</f>
        <v>Відділ реєстрації Новокаховської міської ради</v>
      </c>
      <c r="G730" s="1" t="str">
        <f>"1"</f>
        <v>1</v>
      </c>
      <c r="H730" s="1" t="str">
        <f>"Результат"</f>
        <v>Результат</v>
      </c>
      <c r="I730" s="1" t="str">
        <f t="shared" si="131"/>
        <v>Позитивний</v>
      </c>
      <c r="J730" s="1" t="str">
        <f>"Так"</f>
        <v>Так</v>
      </c>
    </row>
    <row r="731" spans="1:10" ht="135" x14ac:dyDescent="0.25">
      <c r="A731" s="1" t="str">
        <f>"751-2020/27"</f>
        <v>751-2020/27</v>
      </c>
      <c r="B731" s="1" t="str">
        <f t="shared" ref="B731:B757" si="132">"03.02.2020"</f>
        <v>03.02.2020</v>
      </c>
      <c r="C731" s="1" t="str">
        <f t="shared" si="121"/>
        <v>Закрито</v>
      </c>
      <c r="D731" s="1" t="str">
        <f>"Надання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(плану)"</f>
        <v>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</v>
      </c>
      <c r="E731" s="1" t="str">
        <f>"Земельні питання"</f>
        <v>Земельні питання</v>
      </c>
      <c r="F7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31" s="1" t="str">
        <f>"3"</f>
        <v>3</v>
      </c>
      <c r="H731" s="1" t="str">
        <f>"Результат"</f>
        <v>Результат</v>
      </c>
      <c r="I731" s="1" t="str">
        <f t="shared" si="131"/>
        <v>Позитивний</v>
      </c>
      <c r="J731" s="1" t="str">
        <f>"Так"</f>
        <v>Так</v>
      </c>
    </row>
    <row r="732" spans="1:10" ht="45" x14ac:dyDescent="0.25">
      <c r="A732" s="1" t="str">
        <f>"735-2020/27"</f>
        <v>735-2020/27</v>
      </c>
      <c r="B732" s="1" t="str">
        <f t="shared" si="132"/>
        <v>03.02.2020</v>
      </c>
      <c r="C732" s="1" t="str">
        <f t="shared" si="121"/>
        <v>Закрито</v>
      </c>
      <c r="D732" s="1" t="str">
        <f>"Реєстрація місця проживання особи"</f>
        <v>Реєстрація місця проживання особи</v>
      </c>
      <c r="E732" s="1" t="str">
        <f>"Реєстрація місця проживання"</f>
        <v>Реєстрація місця проживання</v>
      </c>
      <c r="F732" s="1" t="str">
        <f>"Відділ реєстрації Новокаховської міської ради"</f>
        <v>Відділ реєстрації Новокаховської міської ради</v>
      </c>
      <c r="G732" s="1" t="str">
        <f>"1"</f>
        <v>1</v>
      </c>
      <c r="H732" s="1" t="str">
        <f>"Результат"</f>
        <v>Результат</v>
      </c>
      <c r="I732" s="1" t="str">
        <f t="shared" si="131"/>
        <v>Позитивний</v>
      </c>
      <c r="J732" s="1" t="str">
        <f>"Так"</f>
        <v>Так</v>
      </c>
    </row>
    <row r="733" spans="1:10" ht="135" x14ac:dyDescent="0.25">
      <c r="A733" s="1" t="str">
        <f>"746-2020/27"</f>
        <v>746-2020/27</v>
      </c>
      <c r="B733" s="1" t="str">
        <f t="shared" si="132"/>
        <v>03.02.2020</v>
      </c>
      <c r="C733" s="1" t="str">
        <f t="shared" si="121"/>
        <v>Закрито</v>
      </c>
      <c r="D73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33" s="1" t="str">
        <f t="shared" ref="E733:E740" si="133">"Земельні питання"</f>
        <v>Земельні питання</v>
      </c>
      <c r="F7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33" s="1" t="str">
        <f>"3"</f>
        <v>3</v>
      </c>
      <c r="H733" s="1" t="str">
        <f>"Результат"</f>
        <v>Результат</v>
      </c>
      <c r="I733" s="1" t="str">
        <f>"Мотивована відмова"</f>
        <v>Мотивована відмова</v>
      </c>
      <c r="J733" s="1" t="str">
        <f>"Ні"</f>
        <v>Ні</v>
      </c>
    </row>
    <row r="734" spans="1:10" ht="135" x14ac:dyDescent="0.25">
      <c r="A734" s="1" t="str">
        <f>"747-2020/27"</f>
        <v>747-2020/27</v>
      </c>
      <c r="B734" s="1" t="str">
        <f t="shared" si="132"/>
        <v>03.02.2020</v>
      </c>
      <c r="C734" s="1" t="str">
        <f t="shared" si="121"/>
        <v>Закрито</v>
      </c>
      <c r="D73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34" s="1" t="str">
        <f t="shared" si="133"/>
        <v>Земельні питання</v>
      </c>
      <c r="F7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34" s="1" t="str">
        <f>"3"</f>
        <v>3</v>
      </c>
      <c r="H734" s="1" t="str">
        <f>"Результат"</f>
        <v>Результат</v>
      </c>
      <c r="I734" s="1" t="str">
        <f>"Мотивована відмова"</f>
        <v>Мотивована відмова</v>
      </c>
      <c r="J734" s="1" t="str">
        <f>"Ні"</f>
        <v>Ні</v>
      </c>
    </row>
    <row r="735" spans="1:10" ht="135" x14ac:dyDescent="0.25">
      <c r="A735" s="1" t="str">
        <f>"744-2020/27"</f>
        <v>744-2020/27</v>
      </c>
      <c r="B735" s="1" t="str">
        <f t="shared" si="132"/>
        <v>03.02.2020</v>
      </c>
      <c r="C735" s="1" t="str">
        <f t="shared" si="121"/>
        <v>Закрито</v>
      </c>
      <c r="D73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35" s="1" t="str">
        <f t="shared" si="133"/>
        <v>Земельні питання</v>
      </c>
      <c r="F7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35" s="1" t="str">
        <f>"3"</f>
        <v>3</v>
      </c>
      <c r="H735" s="1" t="str">
        <f>"Результат"</f>
        <v>Результат</v>
      </c>
      <c r="I735" s="1" t="str">
        <f t="shared" ref="I735:I741" si="134">"Позитивний"</f>
        <v>Позитивний</v>
      </c>
      <c r="J735" s="1" t="str">
        <f>"Ні"</f>
        <v>Ні</v>
      </c>
    </row>
    <row r="736" spans="1:10" ht="105" x14ac:dyDescent="0.25">
      <c r="A736" s="1" t="str">
        <f>"738-2020/27"</f>
        <v>738-2020/27</v>
      </c>
      <c r="B736" s="1" t="str">
        <f t="shared" si="132"/>
        <v>03.02.2020</v>
      </c>
      <c r="C736" s="1" t="str">
        <f t="shared" ref="C736:C802" si="135">"Закрито"</f>
        <v>Закрито</v>
      </c>
      <c r="D73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36" s="1" t="str">
        <f t="shared" si="133"/>
        <v>Земельні питання</v>
      </c>
      <c r="F73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736" s="1" t="str">
        <f>"1"</f>
        <v>1</v>
      </c>
      <c r="H736" s="1" t="str">
        <f>"Результат"</f>
        <v>Результат</v>
      </c>
      <c r="I736" s="1" t="str">
        <f t="shared" si="134"/>
        <v>Позитивний</v>
      </c>
      <c r="J736" s="1" t="str">
        <f>"Так"</f>
        <v>Так</v>
      </c>
    </row>
    <row r="737" spans="1:10" ht="135" x14ac:dyDescent="0.25">
      <c r="A737" s="1" t="str">
        <f>"749-2020/27"</f>
        <v>749-2020/27</v>
      </c>
      <c r="B737" s="1" t="str">
        <f t="shared" si="132"/>
        <v>03.02.2020</v>
      </c>
      <c r="C737" s="1" t="str">
        <f t="shared" si="135"/>
        <v>Закрито</v>
      </c>
      <c r="D7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37" s="1" t="str">
        <f t="shared" si="133"/>
        <v>Земельні питання</v>
      </c>
      <c r="F7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37" s="1" t="str">
        <f>"1"</f>
        <v>1</v>
      </c>
      <c r="H737" s="1" t="str">
        <f>"Результат"</f>
        <v>Результат</v>
      </c>
      <c r="I737" s="1" t="str">
        <f t="shared" si="134"/>
        <v>Позитивний</v>
      </c>
      <c r="J737" s="1" t="str">
        <f>"Так"</f>
        <v>Так</v>
      </c>
    </row>
    <row r="738" spans="1:10" ht="135" x14ac:dyDescent="0.25">
      <c r="A738" s="1" t="str">
        <f>"742-2020/27"</f>
        <v>742-2020/27</v>
      </c>
      <c r="B738" s="1" t="str">
        <f t="shared" si="132"/>
        <v>03.02.2020</v>
      </c>
      <c r="C738" s="1" t="str">
        <f t="shared" si="135"/>
        <v>Закрито</v>
      </c>
      <c r="D73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38" s="1" t="str">
        <f t="shared" si="133"/>
        <v>Земельні питання</v>
      </c>
      <c r="F7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38" s="1" t="str">
        <f>"3"</f>
        <v>3</v>
      </c>
      <c r="H738" s="1" t="str">
        <f>"Результат"</f>
        <v>Результат</v>
      </c>
      <c r="I738" s="1" t="str">
        <f t="shared" si="134"/>
        <v>Позитивний</v>
      </c>
      <c r="J738" s="1" t="str">
        <f>"Ні"</f>
        <v>Ні</v>
      </c>
    </row>
    <row r="739" spans="1:10" ht="135" x14ac:dyDescent="0.25">
      <c r="A739" s="1" t="str">
        <f>"740-2020/27"</f>
        <v>740-2020/27</v>
      </c>
      <c r="B739" s="1" t="str">
        <f t="shared" si="132"/>
        <v>03.02.2020</v>
      </c>
      <c r="C739" s="1" t="str">
        <f t="shared" si="135"/>
        <v>Закрито</v>
      </c>
      <c r="D73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39" s="1" t="str">
        <f t="shared" si="133"/>
        <v>Земельні питання</v>
      </c>
      <c r="F73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39" s="1" t="str">
        <f>"3"</f>
        <v>3</v>
      </c>
      <c r="H739" s="1" t="str">
        <f>"Результат"</f>
        <v>Результат</v>
      </c>
      <c r="I739" s="1" t="str">
        <f t="shared" si="134"/>
        <v>Позитивний</v>
      </c>
      <c r="J739" s="1" t="str">
        <f>"Ні"</f>
        <v>Ні</v>
      </c>
    </row>
    <row r="740" spans="1:10" ht="135" x14ac:dyDescent="0.25">
      <c r="A740" s="1" t="str">
        <f>"748-2020/27"</f>
        <v>748-2020/27</v>
      </c>
      <c r="B740" s="1" t="str">
        <f t="shared" si="132"/>
        <v>03.02.2020</v>
      </c>
      <c r="C740" s="1" t="str">
        <f t="shared" si="135"/>
        <v>Закрито</v>
      </c>
      <c r="D74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40" s="1" t="str">
        <f t="shared" si="133"/>
        <v>Земельні питання</v>
      </c>
      <c r="F7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40" s="1" t="str">
        <f>"1"</f>
        <v>1</v>
      </c>
      <c r="H740" s="1" t="str">
        <f>"Результат"</f>
        <v>Результат</v>
      </c>
      <c r="I740" s="1" t="str">
        <f t="shared" si="134"/>
        <v>Позитивний</v>
      </c>
      <c r="J740" s="1" t="str">
        <f>"Так"</f>
        <v>Так</v>
      </c>
    </row>
    <row r="741" spans="1:10" ht="45" x14ac:dyDescent="0.25">
      <c r="A741" s="1" t="str">
        <f>"733-2020/27"</f>
        <v>733-2020/27</v>
      </c>
      <c r="B741" s="1" t="str">
        <f t="shared" si="132"/>
        <v>03.02.2020</v>
      </c>
      <c r="C741" s="1" t="str">
        <f t="shared" si="135"/>
        <v>Закрито</v>
      </c>
      <c r="D741" s="1" t="str">
        <f>"Реєстрація місця проживання особи"</f>
        <v>Реєстрація місця проживання особи</v>
      </c>
      <c r="E741" s="1" t="str">
        <f>"Реєстрація місця проживання"</f>
        <v>Реєстрація місця проживання</v>
      </c>
      <c r="F741" s="1" t="str">
        <f>"Відділ реєстрації Новокаховської міської ради"</f>
        <v>Відділ реєстрації Новокаховської міської ради</v>
      </c>
      <c r="G741" s="1" t="str">
        <f>"1"</f>
        <v>1</v>
      </c>
      <c r="H741" s="1" t="str">
        <f>"Результат"</f>
        <v>Результат</v>
      </c>
      <c r="I741" s="1" t="str">
        <f t="shared" si="134"/>
        <v>Позитивний</v>
      </c>
      <c r="J741" s="1" t="str">
        <f>"Так"</f>
        <v>Так</v>
      </c>
    </row>
    <row r="742" spans="1:10" ht="135" x14ac:dyDescent="0.25">
      <c r="A742" s="1" t="str">
        <f>"741-2020/27"</f>
        <v>741-2020/27</v>
      </c>
      <c r="B742" s="1" t="str">
        <f t="shared" si="132"/>
        <v>03.02.2020</v>
      </c>
      <c r="C742" s="1" t="str">
        <f t="shared" si="135"/>
        <v>Закрито</v>
      </c>
      <c r="D74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42" s="1" t="str">
        <f>"Земельні питання"</f>
        <v>Земельні питання</v>
      </c>
      <c r="F7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42" s="1" t="str">
        <f>"3"</f>
        <v>3</v>
      </c>
      <c r="H742" s="1" t="str">
        <f>"Результат"</f>
        <v>Результат</v>
      </c>
      <c r="I742" s="1" t="str">
        <f>"Мотивована відмова"</f>
        <v>Мотивована відмова</v>
      </c>
      <c r="J742" s="1" t="str">
        <f>"Ні"</f>
        <v>Ні</v>
      </c>
    </row>
    <row r="743" spans="1:10" ht="135" x14ac:dyDescent="0.25">
      <c r="A743" s="1" t="str">
        <f>"752-2020/27"</f>
        <v>752-2020/27</v>
      </c>
      <c r="B743" s="1" t="str">
        <f t="shared" si="132"/>
        <v>03.02.2020</v>
      </c>
      <c r="C743" s="1" t="str">
        <f t="shared" si="135"/>
        <v>Закрито</v>
      </c>
      <c r="D74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43" s="1" t="str">
        <f>"Земельні питання"</f>
        <v>Земельні питання</v>
      </c>
      <c r="F7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43" s="1" t="str">
        <f>"3"</f>
        <v>3</v>
      </c>
      <c r="H743" s="1" t="str">
        <f>"Результат"</f>
        <v>Результат</v>
      </c>
      <c r="I743" s="1" t="str">
        <f>"Мотивована відмова"</f>
        <v>Мотивована відмова</v>
      </c>
      <c r="J743" s="1" t="str">
        <f>"Ні"</f>
        <v>Ні</v>
      </c>
    </row>
    <row r="744" spans="1:10" ht="135" x14ac:dyDescent="0.25">
      <c r="A744" s="1" t="str">
        <f>"745-2020/27"</f>
        <v>745-2020/27</v>
      </c>
      <c r="B744" s="1" t="str">
        <f t="shared" si="132"/>
        <v>03.02.2020</v>
      </c>
      <c r="C744" s="1" t="str">
        <f t="shared" si="135"/>
        <v>Закрито</v>
      </c>
      <c r="D74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44" s="1" t="str">
        <f>"Земельні питання"</f>
        <v>Земельні питання</v>
      </c>
      <c r="F7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44" s="1" t="str">
        <f>"3"</f>
        <v>3</v>
      </c>
      <c r="H744" s="1" t="str">
        <f>"Результат"</f>
        <v>Результат</v>
      </c>
      <c r="I744" s="1" t="str">
        <f>"Мотивована відмова"</f>
        <v>Мотивована відмова</v>
      </c>
      <c r="J744" s="1" t="str">
        <f>"Ні"</f>
        <v>Ні</v>
      </c>
    </row>
    <row r="745" spans="1:10" ht="45" x14ac:dyDescent="0.25">
      <c r="A745" s="1" t="str">
        <f>"729-2020/27"</f>
        <v>729-2020/27</v>
      </c>
      <c r="B745" s="1" t="str">
        <f t="shared" si="132"/>
        <v>03.02.2020</v>
      </c>
      <c r="C745" s="1" t="str">
        <f t="shared" si="135"/>
        <v>Закрито</v>
      </c>
      <c r="D745" s="1" t="str">
        <f>"Зняття з реєстрації місця проживання"</f>
        <v>Зняття з реєстрації місця проживання</v>
      </c>
      <c r="E745" s="1" t="str">
        <f>"Реєстрація місця проживання"</f>
        <v>Реєстрація місця проживання</v>
      </c>
      <c r="F745" s="1" t="str">
        <f>"Відділ реєстрації Новокаховської міської ради"</f>
        <v>Відділ реєстрації Новокаховської міської ради</v>
      </c>
      <c r="G745" s="1" t="str">
        <f>"1"</f>
        <v>1</v>
      </c>
      <c r="H745" s="1" t="str">
        <f>"Результат"</f>
        <v>Результат</v>
      </c>
      <c r="I745" s="1" t="str">
        <f t="shared" ref="I745:I755" si="136">"Позитивний"</f>
        <v>Позитивний</v>
      </c>
      <c r="J745" s="1" t="str">
        <f>"Так"</f>
        <v>Так</v>
      </c>
    </row>
    <row r="746" spans="1:10" ht="105" x14ac:dyDescent="0.25">
      <c r="A746" s="1" t="str">
        <f>"737-2020/27"</f>
        <v>737-2020/27</v>
      </c>
      <c r="B746" s="1" t="str">
        <f t="shared" si="132"/>
        <v>03.02.2020</v>
      </c>
      <c r="C746" s="1" t="str">
        <f t="shared" si="135"/>
        <v>Закрито</v>
      </c>
      <c r="D746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746" s="1" t="str">
        <f>"Будівництво"</f>
        <v>Будівництво</v>
      </c>
      <c r="F74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746" s="1" t="str">
        <f>"10"</f>
        <v>10</v>
      </c>
      <c r="H746" s="1" t="str">
        <f>"Результат"</f>
        <v>Результат</v>
      </c>
      <c r="I746" s="1" t="str">
        <f t="shared" si="136"/>
        <v>Позитивний</v>
      </c>
      <c r="J746" s="1" t="str">
        <f>"Ні"</f>
        <v>Ні</v>
      </c>
    </row>
    <row r="747" spans="1:10" ht="45" x14ac:dyDescent="0.25">
      <c r="A747" s="1" t="str">
        <f>"726-2020/27"</f>
        <v>726-2020/27</v>
      </c>
      <c r="B747" s="1" t="str">
        <f t="shared" si="132"/>
        <v>03.02.2020</v>
      </c>
      <c r="C747" s="1" t="str">
        <f t="shared" si="135"/>
        <v>Закрито</v>
      </c>
      <c r="D747" s="1" t="str">
        <f>"Зняття з реєстрації місця проживання"</f>
        <v>Зняття з реєстрації місця проживання</v>
      </c>
      <c r="E747" s="1" t="str">
        <f>"Реєстрація місця проживання"</f>
        <v>Реєстрація місця проживання</v>
      </c>
      <c r="F747" s="1" t="str">
        <f>"Відділ реєстрації Новокаховської міської ради"</f>
        <v>Відділ реєстрації Новокаховської міської ради</v>
      </c>
      <c r="G747" s="1" t="str">
        <f>"1"</f>
        <v>1</v>
      </c>
      <c r="H747" s="1" t="str">
        <f>"Результат"</f>
        <v>Результат</v>
      </c>
      <c r="I747" s="1" t="str">
        <f t="shared" si="136"/>
        <v>Позитивний</v>
      </c>
      <c r="J747" s="1" t="str">
        <f>"Так"</f>
        <v>Так</v>
      </c>
    </row>
    <row r="748" spans="1:10" ht="135" x14ac:dyDescent="0.25">
      <c r="A748" s="1" t="str">
        <f>"743-2020/27"</f>
        <v>743-2020/27</v>
      </c>
      <c r="B748" s="1" t="str">
        <f t="shared" si="132"/>
        <v>03.02.2020</v>
      </c>
      <c r="C748" s="1" t="str">
        <f t="shared" si="135"/>
        <v>Закрито</v>
      </c>
      <c r="D74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48" s="1" t="str">
        <f>"Земельні питання"</f>
        <v>Земельні питання</v>
      </c>
      <c r="F7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48" s="1" t="str">
        <f>"3"</f>
        <v>3</v>
      </c>
      <c r="H748" s="1" t="str">
        <f>"Результат"</f>
        <v>Результат</v>
      </c>
      <c r="I748" s="1" t="str">
        <f t="shared" si="136"/>
        <v>Позитивний</v>
      </c>
      <c r="J748" s="1" t="str">
        <f>"Ні"</f>
        <v>Ні</v>
      </c>
    </row>
    <row r="749" spans="1:10" ht="135" x14ac:dyDescent="0.25">
      <c r="A749" s="1" t="str">
        <f>"739-2020/27"</f>
        <v>739-2020/27</v>
      </c>
      <c r="B749" s="1" t="str">
        <f t="shared" si="132"/>
        <v>03.02.2020</v>
      </c>
      <c r="C749" s="1" t="str">
        <f t="shared" si="135"/>
        <v>Закрито</v>
      </c>
      <c r="D74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49" s="1" t="str">
        <f>"Земельні питання"</f>
        <v>Земельні питання</v>
      </c>
      <c r="F7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49" s="1" t="str">
        <f>"3"</f>
        <v>3</v>
      </c>
      <c r="H749" s="1" t="str">
        <f>"Результат"</f>
        <v>Результат</v>
      </c>
      <c r="I749" s="1" t="str">
        <f t="shared" si="136"/>
        <v>Позитивний</v>
      </c>
      <c r="J749" s="1" t="str">
        <f>"Ні"</f>
        <v>Ні</v>
      </c>
    </row>
    <row r="750" spans="1:10" ht="45" x14ac:dyDescent="0.25">
      <c r="A750" s="1" t="str">
        <f>"731-2020/27"</f>
        <v>731-2020/27</v>
      </c>
      <c r="B750" s="1" t="str">
        <f t="shared" si="132"/>
        <v>03.02.2020</v>
      </c>
      <c r="C750" s="1" t="str">
        <f t="shared" si="135"/>
        <v>Закрито</v>
      </c>
      <c r="D750" s="1" t="str">
        <f>"Реєстрація місця проживання особи"</f>
        <v>Реєстрація місця проживання особи</v>
      </c>
      <c r="E750" s="1" t="str">
        <f>"Реєстрація місця проживання"</f>
        <v>Реєстрація місця проживання</v>
      </c>
      <c r="F750" s="1" t="str">
        <f>"Відділ реєстрації Новокаховської міської ради"</f>
        <v>Відділ реєстрації Новокаховської міської ради</v>
      </c>
      <c r="G750" s="1" t="str">
        <f>"1"</f>
        <v>1</v>
      </c>
      <c r="H750" s="1" t="str">
        <f>"Результат"</f>
        <v>Результат</v>
      </c>
      <c r="I750" s="1" t="str">
        <f t="shared" si="136"/>
        <v>Позитивний</v>
      </c>
      <c r="J750" s="1" t="str">
        <f>"Так"</f>
        <v>Так</v>
      </c>
    </row>
    <row r="751" spans="1:10" ht="45" x14ac:dyDescent="0.25">
      <c r="A751" s="1" t="str">
        <f>"736-2020/27"</f>
        <v>736-2020/27</v>
      </c>
      <c r="B751" s="1" t="str">
        <f t="shared" si="132"/>
        <v>03.02.2020</v>
      </c>
      <c r="C751" s="1" t="str">
        <f t="shared" si="135"/>
        <v>Закрито</v>
      </c>
      <c r="D751" s="1" t="str">
        <f>"Реєстрація місця проживання особи"</f>
        <v>Реєстрація місця проживання особи</v>
      </c>
      <c r="E751" s="1" t="str">
        <f>"Реєстрація місця проживання"</f>
        <v>Реєстрація місця проживання</v>
      </c>
      <c r="F751" s="1" t="str">
        <f>"Відділ реєстрації Новокаховської міської ради"</f>
        <v>Відділ реєстрації Новокаховської міської ради</v>
      </c>
      <c r="G751" s="1" t="str">
        <f>"1"</f>
        <v>1</v>
      </c>
      <c r="H751" s="1" t="str">
        <f>"Результат"</f>
        <v>Результат</v>
      </c>
      <c r="I751" s="1" t="str">
        <f t="shared" si="136"/>
        <v>Позитивний</v>
      </c>
      <c r="J751" s="1" t="str">
        <f>"Так"</f>
        <v>Так</v>
      </c>
    </row>
    <row r="752" spans="1:10" ht="45" x14ac:dyDescent="0.25">
      <c r="A752" s="1" t="str">
        <f>"732-2020/27"</f>
        <v>732-2020/27</v>
      </c>
      <c r="B752" s="1" t="str">
        <f t="shared" si="132"/>
        <v>03.02.2020</v>
      </c>
      <c r="C752" s="1" t="str">
        <f t="shared" si="135"/>
        <v>Закрито</v>
      </c>
      <c r="D752" s="1" t="str">
        <f>"Реєстрація місця проживання особи"</f>
        <v>Реєстрація місця проживання особи</v>
      </c>
      <c r="E752" s="1" t="str">
        <f>"Реєстрація місця проживання"</f>
        <v>Реєстрація місця проживання</v>
      </c>
      <c r="F752" s="1" t="str">
        <f>"Відділ реєстрації Новокаховської міської ради"</f>
        <v>Відділ реєстрації Новокаховської міської ради</v>
      </c>
      <c r="G752" s="1" t="str">
        <f>"1"</f>
        <v>1</v>
      </c>
      <c r="H752" s="1" t="str">
        <f>"Результат"</f>
        <v>Результат</v>
      </c>
      <c r="I752" s="1" t="str">
        <f t="shared" si="136"/>
        <v>Позитивний</v>
      </c>
      <c r="J752" s="1" t="str">
        <f>"Так"</f>
        <v>Так</v>
      </c>
    </row>
    <row r="753" spans="1:10" ht="45" x14ac:dyDescent="0.25">
      <c r="A753" s="1" t="str">
        <f>"730-2020/27"</f>
        <v>730-2020/27</v>
      </c>
      <c r="B753" s="1" t="str">
        <f t="shared" si="132"/>
        <v>03.02.2020</v>
      </c>
      <c r="C753" s="1" t="str">
        <f t="shared" si="135"/>
        <v>Закрито</v>
      </c>
      <c r="D753" s="1" t="str">
        <f>"Реєстрація місця проживання особи"</f>
        <v>Реєстрація місця проживання особи</v>
      </c>
      <c r="E753" s="1" t="str">
        <f>"Реєстрація місця проживання"</f>
        <v>Реєстрація місця проживання</v>
      </c>
      <c r="F753" s="1" t="str">
        <f>"Відділ реєстрації Новокаховської міської ради"</f>
        <v>Відділ реєстрації Новокаховської міської ради</v>
      </c>
      <c r="G753" s="1" t="str">
        <f>"1"</f>
        <v>1</v>
      </c>
      <c r="H753" s="1" t="str">
        <f>"Результат"</f>
        <v>Результат</v>
      </c>
      <c r="I753" s="1" t="str">
        <f t="shared" si="136"/>
        <v>Позитивний</v>
      </c>
      <c r="J753" s="1" t="str">
        <f>"Так"</f>
        <v>Так</v>
      </c>
    </row>
    <row r="754" spans="1:10" ht="135" x14ac:dyDescent="0.25">
      <c r="A754" s="1" t="str">
        <f>"728-2020/27"</f>
        <v>728-2020/27</v>
      </c>
      <c r="B754" s="1" t="str">
        <f t="shared" si="132"/>
        <v>03.02.2020</v>
      </c>
      <c r="C754" s="1" t="str">
        <f t="shared" si="135"/>
        <v>Закрито</v>
      </c>
      <c r="D75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54" s="1" t="str">
        <f>"Земельні питання"</f>
        <v>Земельні питання</v>
      </c>
      <c r="F7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54" s="1" t="str">
        <f>"3"</f>
        <v>3</v>
      </c>
      <c r="H754" s="1" t="str">
        <f>"Результат"</f>
        <v>Результат</v>
      </c>
      <c r="I754" s="1" t="str">
        <f t="shared" si="136"/>
        <v>Позитивний</v>
      </c>
      <c r="J754" s="1" t="str">
        <f t="shared" ref="J754:J759" si="137">"Ні"</f>
        <v>Ні</v>
      </c>
    </row>
    <row r="755" spans="1:10" ht="90" x14ac:dyDescent="0.25">
      <c r="A755" s="1" t="str">
        <f>"734-2020/27"</f>
        <v>734-2020/27</v>
      </c>
      <c r="B755" s="1" t="str">
        <f t="shared" si="132"/>
        <v>03.02.2020</v>
      </c>
      <c r="C755" s="1" t="str">
        <f t="shared" si="135"/>
        <v>Закрито</v>
      </c>
      <c r="D75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55" s="1" t="str">
        <f>"Інші послуги"</f>
        <v>Інші послуги</v>
      </c>
      <c r="F75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55" s="1" t="str">
        <f>"5"</f>
        <v>5</v>
      </c>
      <c r="H755" s="1" t="str">
        <f>"Результат"</f>
        <v>Результат</v>
      </c>
      <c r="I755" s="1" t="str">
        <f t="shared" si="136"/>
        <v>Позитивний</v>
      </c>
      <c r="J755" s="1" t="str">
        <f t="shared" si="137"/>
        <v>Ні</v>
      </c>
    </row>
    <row r="756" spans="1:10" ht="135" x14ac:dyDescent="0.25">
      <c r="A756" s="1" t="str">
        <f>"750-2020/27"</f>
        <v>750-2020/27</v>
      </c>
      <c r="B756" s="1" t="str">
        <f t="shared" si="132"/>
        <v>03.02.2020</v>
      </c>
      <c r="C756" s="1" t="str">
        <f t="shared" si="135"/>
        <v>Закрито</v>
      </c>
      <c r="D7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56" s="1" t="str">
        <f>"Земельні питання"</f>
        <v>Земельні питання</v>
      </c>
      <c r="F7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56" s="1" t="str">
        <f>"3"</f>
        <v>3</v>
      </c>
      <c r="H756" s="1" t="str">
        <f>"Результат"</f>
        <v>Результат</v>
      </c>
      <c r="I756" s="1" t="str">
        <f>"Мотивована відмова"</f>
        <v>Мотивована відмова</v>
      </c>
      <c r="J756" s="1" t="str">
        <f t="shared" si="137"/>
        <v>Ні</v>
      </c>
    </row>
    <row r="757" spans="1:10" ht="135" x14ac:dyDescent="0.25">
      <c r="A757" s="1" t="str">
        <f>"727-2020/27"</f>
        <v>727-2020/27</v>
      </c>
      <c r="B757" s="1" t="str">
        <f t="shared" si="132"/>
        <v>03.02.2020</v>
      </c>
      <c r="C757" s="1" t="str">
        <f t="shared" si="135"/>
        <v>Закрито</v>
      </c>
      <c r="D7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57" s="1" t="str">
        <f>"Земельні питання"</f>
        <v>Земельні питання</v>
      </c>
      <c r="F7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57" s="1" t="str">
        <f>"3"</f>
        <v>3</v>
      </c>
      <c r="H757" s="1" t="str">
        <f>"Результат"</f>
        <v>Результат</v>
      </c>
      <c r="I757" s="1" t="str">
        <f>"Позитивний"</f>
        <v>Позитивний</v>
      </c>
      <c r="J757" s="1" t="str">
        <f t="shared" si="137"/>
        <v>Ні</v>
      </c>
    </row>
    <row r="758" spans="1:10" ht="90" x14ac:dyDescent="0.25">
      <c r="A758" s="1" t="str">
        <f>"754-2020/27"</f>
        <v>754-2020/27</v>
      </c>
      <c r="B758" s="1" t="str">
        <f t="shared" ref="B758:B799" si="138">"04.02.2020"</f>
        <v>04.02.2020</v>
      </c>
      <c r="C758" s="1" t="str">
        <f t="shared" si="135"/>
        <v>Закрито</v>
      </c>
      <c r="D75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58" s="1" t="str">
        <f>"Інші послуги"</f>
        <v>Інші послуги</v>
      </c>
      <c r="F75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58" s="1" t="str">
        <f>"5"</f>
        <v>5</v>
      </c>
      <c r="H758" s="1" t="str">
        <f>"Результат"</f>
        <v>Результат</v>
      </c>
      <c r="I758" s="1" t="str">
        <f>"Позитивний"</f>
        <v>Позитивний</v>
      </c>
      <c r="J758" s="1" t="str">
        <f t="shared" si="137"/>
        <v>Ні</v>
      </c>
    </row>
    <row r="759" spans="1:10" ht="90" x14ac:dyDescent="0.25">
      <c r="A759" s="1" t="str">
        <f>"755-2020/27"</f>
        <v>755-2020/27</v>
      </c>
      <c r="B759" s="1" t="str">
        <f t="shared" si="138"/>
        <v>04.02.2020</v>
      </c>
      <c r="C759" s="1" t="str">
        <f t="shared" si="135"/>
        <v>Закрито</v>
      </c>
      <c r="D75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59" s="1" t="str">
        <f>"Інші послуги"</f>
        <v>Інші послуги</v>
      </c>
      <c r="F75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59" s="1" t="str">
        <f>"5"</f>
        <v>5</v>
      </c>
      <c r="H759" s="1" t="str">
        <f>"Результат"</f>
        <v>Результат</v>
      </c>
      <c r="I759" s="1" t="str">
        <f>"Позитивний"</f>
        <v>Позитивний</v>
      </c>
      <c r="J759" s="1" t="str">
        <f t="shared" si="137"/>
        <v>Ні</v>
      </c>
    </row>
    <row r="760" spans="1:10" ht="45" x14ac:dyDescent="0.25">
      <c r="A760" s="1" t="str">
        <f>"790-2020/27"</f>
        <v>790-2020/27</v>
      </c>
      <c r="B760" s="1" t="str">
        <f t="shared" si="138"/>
        <v>04.02.2020</v>
      </c>
      <c r="C760" s="1" t="str">
        <f t="shared" si="135"/>
        <v>Закрито</v>
      </c>
      <c r="D760" s="1" t="str">
        <f>"Реєстрація місця проживання особи"</f>
        <v>Реєстрація місця проживання особи</v>
      </c>
      <c r="E760" s="1" t="str">
        <f>"Реєстрація місця проживання"</f>
        <v>Реєстрація місця проживання</v>
      </c>
      <c r="F760" s="1" t="str">
        <f>"Відділ реєстрації Новокаховської міської ради"</f>
        <v>Відділ реєстрації Новокаховської міської ради</v>
      </c>
      <c r="G760" s="1" t="str">
        <f>"1"</f>
        <v>1</v>
      </c>
      <c r="H760" s="1" t="str">
        <f>"Результат"</f>
        <v>Результат</v>
      </c>
      <c r="I760" s="1" t="str">
        <f>"Мотивована відмова"</f>
        <v>Мотивована відмова</v>
      </c>
      <c r="J760" s="1" t="str">
        <f>"Так"</f>
        <v>Так</v>
      </c>
    </row>
    <row r="761" spans="1:10" ht="45" x14ac:dyDescent="0.25">
      <c r="A761" s="1" t="str">
        <f>"776-2020/27"</f>
        <v>776-2020/27</v>
      </c>
      <c r="B761" s="1" t="str">
        <f t="shared" si="138"/>
        <v>04.02.2020</v>
      </c>
      <c r="C761" s="1" t="str">
        <f t="shared" si="135"/>
        <v>Закрито</v>
      </c>
      <c r="D761" s="1" t="str">
        <f>"Реєстрація місця проживання особи"</f>
        <v>Реєстрація місця проживання особи</v>
      </c>
      <c r="E761" s="1" t="str">
        <f>"Реєстрація місця проживання"</f>
        <v>Реєстрація місця проживання</v>
      </c>
      <c r="F761" s="1" t="str">
        <f>"Відділ реєстрації Новокаховської міської ради"</f>
        <v>Відділ реєстрації Новокаховської міської ради</v>
      </c>
      <c r="G761" s="1" t="str">
        <f>"1"</f>
        <v>1</v>
      </c>
      <c r="H761" s="1" t="str">
        <f>"Результат"</f>
        <v>Результат</v>
      </c>
      <c r="I761" s="1" t="str">
        <f>"Позитивний"</f>
        <v>Позитивний</v>
      </c>
      <c r="J761" s="1" t="str">
        <f>"Так"</f>
        <v>Так</v>
      </c>
    </row>
    <row r="762" spans="1:10" ht="195" x14ac:dyDescent="0.25">
      <c r="A762" s="1" t="str">
        <f>"780-2020/27"</f>
        <v>780-2020/27</v>
      </c>
      <c r="B762" s="1" t="str">
        <f t="shared" si="138"/>
        <v>04.02.2020</v>
      </c>
      <c r="C762" s="1" t="str">
        <f t="shared" si="135"/>
        <v>Закрито</v>
      </c>
      <c r="D762" s="1" t="s">
        <v>13</v>
      </c>
      <c r="E762" s="1" t="str">
        <f>"Державна реєстрація громадських об’єднань"</f>
        <v>Державна реєстрація громадських об’єднань</v>
      </c>
      <c r="F762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762" s="1" t="str">
        <f>"15"</f>
        <v>15</v>
      </c>
      <c r="H762" s="1" t="str">
        <f>"Результат"</f>
        <v>Результат</v>
      </c>
      <c r="I762" s="1" t="str">
        <f>"Мотивована відмова"</f>
        <v>Мотивована відмова</v>
      </c>
      <c r="J762" s="1" t="str">
        <f t="shared" ref="J762:J767" si="139">"Ні"</f>
        <v>Ні</v>
      </c>
    </row>
    <row r="763" spans="1:10" ht="135" x14ac:dyDescent="0.25">
      <c r="A763" s="1" t="str">
        <f>"783-2020/27"</f>
        <v>783-2020/27</v>
      </c>
      <c r="B763" s="1" t="str">
        <f t="shared" si="138"/>
        <v>04.02.2020</v>
      </c>
      <c r="C763" s="1" t="str">
        <f t="shared" si="135"/>
        <v>Закрито</v>
      </c>
      <c r="D76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63" s="1" t="str">
        <f t="shared" ref="E763:E770" si="140">"Земельні питання"</f>
        <v>Земельні питання</v>
      </c>
      <c r="F7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63" s="1" t="str">
        <f>"3"</f>
        <v>3</v>
      </c>
      <c r="H763" s="1" t="str">
        <f>"Результат"</f>
        <v>Результат</v>
      </c>
      <c r="I763" s="1" t="str">
        <f t="shared" ref="I763:I786" si="141">"Позитивний"</f>
        <v>Позитивний</v>
      </c>
      <c r="J763" s="1" t="str">
        <f t="shared" si="139"/>
        <v>Ні</v>
      </c>
    </row>
    <row r="764" spans="1:10" ht="135" x14ac:dyDescent="0.25">
      <c r="A764" s="1" t="str">
        <f>"766-2020/27"</f>
        <v>766-2020/27</v>
      </c>
      <c r="B764" s="1" t="str">
        <f t="shared" si="138"/>
        <v>04.02.2020</v>
      </c>
      <c r="C764" s="1" t="str">
        <f t="shared" si="135"/>
        <v>Закрито</v>
      </c>
      <c r="D7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64" s="1" t="str">
        <f t="shared" si="140"/>
        <v>Земельні питання</v>
      </c>
      <c r="F7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64" s="1" t="str">
        <f>"3"</f>
        <v>3</v>
      </c>
      <c r="H764" s="1" t="str">
        <f>"Результат"</f>
        <v>Результат</v>
      </c>
      <c r="I764" s="1" t="str">
        <f t="shared" si="141"/>
        <v>Позитивний</v>
      </c>
      <c r="J764" s="1" t="str">
        <f t="shared" si="139"/>
        <v>Ні</v>
      </c>
    </row>
    <row r="765" spans="1:10" ht="135" x14ac:dyDescent="0.25">
      <c r="A765" s="1" t="str">
        <f>"788-2020/27"</f>
        <v>788-2020/27</v>
      </c>
      <c r="B765" s="1" t="str">
        <f t="shared" si="138"/>
        <v>04.02.2020</v>
      </c>
      <c r="C765" s="1" t="str">
        <f t="shared" si="135"/>
        <v>Закрито</v>
      </c>
      <c r="D765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765" s="1" t="str">
        <f t="shared" si="140"/>
        <v>Земельні питання</v>
      </c>
      <c r="F7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65" s="1" t="str">
        <f>"14"</f>
        <v>14</v>
      </c>
      <c r="H765" s="1" t="str">
        <f>"Результат"</f>
        <v>Результат</v>
      </c>
      <c r="I765" s="1" t="str">
        <f t="shared" si="141"/>
        <v>Позитивний</v>
      </c>
      <c r="J765" s="1" t="str">
        <f t="shared" si="139"/>
        <v>Ні</v>
      </c>
    </row>
    <row r="766" spans="1:10" ht="135" x14ac:dyDescent="0.25">
      <c r="A766" s="1" t="str">
        <f>"759-2020/27"</f>
        <v>759-2020/27</v>
      </c>
      <c r="B766" s="1" t="str">
        <f t="shared" si="138"/>
        <v>04.02.2020</v>
      </c>
      <c r="C766" s="1" t="str">
        <f t="shared" si="135"/>
        <v>Закрито</v>
      </c>
      <c r="D7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66" s="1" t="str">
        <f t="shared" si="140"/>
        <v>Земельні питання</v>
      </c>
      <c r="F7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66" s="1" t="str">
        <f>"3"</f>
        <v>3</v>
      </c>
      <c r="H766" s="1" t="str">
        <f>"Результат"</f>
        <v>Результат</v>
      </c>
      <c r="I766" s="1" t="str">
        <f t="shared" si="141"/>
        <v>Позитивний</v>
      </c>
      <c r="J766" s="1" t="str">
        <f t="shared" si="139"/>
        <v>Ні</v>
      </c>
    </row>
    <row r="767" spans="1:10" ht="135" x14ac:dyDescent="0.25">
      <c r="A767" s="1" t="str">
        <f>"772-2020/27"</f>
        <v>772-2020/27</v>
      </c>
      <c r="B767" s="1" t="str">
        <f t="shared" si="138"/>
        <v>04.02.2020</v>
      </c>
      <c r="C767" s="1" t="str">
        <f t="shared" si="135"/>
        <v>Закрито</v>
      </c>
      <c r="D76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67" s="1" t="str">
        <f t="shared" si="140"/>
        <v>Земельні питання</v>
      </c>
      <c r="F7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67" s="1" t="str">
        <f>"3"</f>
        <v>3</v>
      </c>
      <c r="H767" s="1" t="str">
        <f>"Результат"</f>
        <v>Результат</v>
      </c>
      <c r="I767" s="1" t="str">
        <f t="shared" si="141"/>
        <v>Позитивний</v>
      </c>
      <c r="J767" s="1" t="str">
        <f t="shared" si="139"/>
        <v>Ні</v>
      </c>
    </row>
    <row r="768" spans="1:10" ht="105" x14ac:dyDescent="0.25">
      <c r="A768" s="1" t="str">
        <f>"793-2020/27"</f>
        <v>793-2020/27</v>
      </c>
      <c r="B768" s="1" t="str">
        <f t="shared" si="138"/>
        <v>04.02.2020</v>
      </c>
      <c r="C768" s="1" t="str">
        <f t="shared" si="135"/>
        <v>Закрито</v>
      </c>
      <c r="D76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68" s="1" t="str">
        <f t="shared" si="140"/>
        <v>Земельні питання</v>
      </c>
      <c r="F76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768" s="1" t="str">
        <f>"1"</f>
        <v>1</v>
      </c>
      <c r="H768" s="1" t="str">
        <f>"Результат"</f>
        <v>Результат</v>
      </c>
      <c r="I768" s="1" t="str">
        <f t="shared" si="141"/>
        <v>Позитивний</v>
      </c>
      <c r="J768" s="1" t="str">
        <f>"Так"</f>
        <v>Так</v>
      </c>
    </row>
    <row r="769" spans="1:10" ht="135" x14ac:dyDescent="0.25">
      <c r="A769" s="1" t="str">
        <f>"760-2020/27"</f>
        <v>760-2020/27</v>
      </c>
      <c r="B769" s="1" t="str">
        <f t="shared" si="138"/>
        <v>04.02.2020</v>
      </c>
      <c r="C769" s="1" t="str">
        <f t="shared" si="135"/>
        <v>Закрито</v>
      </c>
      <c r="D7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69" s="1" t="str">
        <f t="shared" si="140"/>
        <v>Земельні питання</v>
      </c>
      <c r="F7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69" s="1" t="str">
        <f>"3"</f>
        <v>3</v>
      </c>
      <c r="H769" s="1" t="str">
        <f>"Результат"</f>
        <v>Результат</v>
      </c>
      <c r="I769" s="1" t="str">
        <f t="shared" si="141"/>
        <v>Позитивний</v>
      </c>
      <c r="J769" s="1" t="str">
        <f>"Ні"</f>
        <v>Ні</v>
      </c>
    </row>
    <row r="770" spans="1:10" ht="135" x14ac:dyDescent="0.25">
      <c r="A770" s="1" t="str">
        <f>"757-2020/27"</f>
        <v>757-2020/27</v>
      </c>
      <c r="B770" s="1" t="str">
        <f t="shared" si="138"/>
        <v>04.02.2020</v>
      </c>
      <c r="C770" s="1" t="str">
        <f t="shared" si="135"/>
        <v>Закрито</v>
      </c>
      <c r="D77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70" s="1" t="str">
        <f t="shared" si="140"/>
        <v>Земельні питання</v>
      </c>
      <c r="F7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70" s="1" t="str">
        <f>"3"</f>
        <v>3</v>
      </c>
      <c r="H770" s="1" t="str">
        <f>"Результат"</f>
        <v>Результат</v>
      </c>
      <c r="I770" s="1" t="str">
        <f t="shared" si="141"/>
        <v>Позитивний</v>
      </c>
      <c r="J770" s="1" t="str">
        <f>"Ні"</f>
        <v>Ні</v>
      </c>
    </row>
    <row r="771" spans="1:10" ht="90" x14ac:dyDescent="0.25">
      <c r="A771" s="1" t="str">
        <f>"777-2020/27"</f>
        <v>777-2020/27</v>
      </c>
      <c r="B771" s="1" t="str">
        <f t="shared" si="138"/>
        <v>04.02.2020</v>
      </c>
      <c r="C771" s="1" t="str">
        <f t="shared" si="135"/>
        <v>Закрито</v>
      </c>
      <c r="D77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71" s="1" t="str">
        <f>"Інші послуги"</f>
        <v>Інші послуги</v>
      </c>
      <c r="F77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71" s="1" t="str">
        <f>"5"</f>
        <v>5</v>
      </c>
      <c r="H771" s="1" t="str">
        <f>"Результат"</f>
        <v>Результат</v>
      </c>
      <c r="I771" s="1" t="str">
        <f t="shared" si="141"/>
        <v>Позитивний</v>
      </c>
      <c r="J771" s="1" t="str">
        <f>"Ні"</f>
        <v>Ні</v>
      </c>
    </row>
    <row r="772" spans="1:10" ht="45" x14ac:dyDescent="0.25">
      <c r="A772" s="1" t="str">
        <f>"787-2020/27"</f>
        <v>787-2020/27</v>
      </c>
      <c r="B772" s="1" t="str">
        <f t="shared" si="138"/>
        <v>04.02.2020</v>
      </c>
      <c r="C772" s="1" t="str">
        <f t="shared" si="135"/>
        <v>Закрито</v>
      </c>
      <c r="D772" s="1" t="str">
        <f>"Реєстрація місця проживання особи"</f>
        <v>Реєстрація місця проживання особи</v>
      </c>
      <c r="E772" s="1" t="str">
        <f>"Реєстрація місця проживання"</f>
        <v>Реєстрація місця проживання</v>
      </c>
      <c r="F772" s="1" t="str">
        <f>"Відділ реєстрації Новокаховської міської ради"</f>
        <v>Відділ реєстрації Новокаховської міської ради</v>
      </c>
      <c r="G772" s="1" t="str">
        <f>"1"</f>
        <v>1</v>
      </c>
      <c r="H772" s="1" t="str">
        <f>"Результат"</f>
        <v>Результат</v>
      </c>
      <c r="I772" s="1" t="str">
        <f t="shared" si="141"/>
        <v>Позитивний</v>
      </c>
      <c r="J772" s="1" t="str">
        <f>"Так"</f>
        <v>Так</v>
      </c>
    </row>
    <row r="773" spans="1:10" ht="135" x14ac:dyDescent="0.25">
      <c r="A773" s="1" t="str">
        <f>"762-2020/27"</f>
        <v>762-2020/27</v>
      </c>
      <c r="B773" s="1" t="str">
        <f t="shared" si="138"/>
        <v>04.02.2020</v>
      </c>
      <c r="C773" s="1" t="str">
        <f t="shared" si="135"/>
        <v>Закрито</v>
      </c>
      <c r="D77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73" s="1" t="str">
        <f>"Земельні питання"</f>
        <v>Земельні питання</v>
      </c>
      <c r="F7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73" s="1" t="str">
        <f>"3"</f>
        <v>3</v>
      </c>
      <c r="H773" s="1" t="str">
        <f>"Результат"</f>
        <v>Результат</v>
      </c>
      <c r="I773" s="1" t="str">
        <f t="shared" si="141"/>
        <v>Позитивний</v>
      </c>
      <c r="J773" s="1" t="str">
        <f t="shared" ref="J773:J778" si="142">"Ні"</f>
        <v>Ні</v>
      </c>
    </row>
    <row r="774" spans="1:10" ht="120" x14ac:dyDescent="0.25">
      <c r="A774" s="1" t="str">
        <f>"770-2020/27"</f>
        <v>770-2020/27</v>
      </c>
      <c r="B774" s="1" t="str">
        <f t="shared" si="138"/>
        <v>04.02.2020</v>
      </c>
      <c r="C774" s="1" t="str">
        <f t="shared" si="135"/>
        <v>Закрито</v>
      </c>
      <c r="D774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774" s="1" t="str">
        <f>"Будівництво"</f>
        <v>Будівництво</v>
      </c>
      <c r="F77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774" s="1" t="str">
        <f>"10"</f>
        <v>10</v>
      </c>
      <c r="H774" s="1" t="str">
        <f>"Результат"</f>
        <v>Результат</v>
      </c>
      <c r="I774" s="1" t="str">
        <f t="shared" si="141"/>
        <v>Позитивний</v>
      </c>
      <c r="J774" s="1" t="str">
        <f t="shared" si="142"/>
        <v>Ні</v>
      </c>
    </row>
    <row r="775" spans="1:10" ht="135" x14ac:dyDescent="0.25">
      <c r="A775" s="1" t="str">
        <f>"773-2020/27"</f>
        <v>773-2020/27</v>
      </c>
      <c r="B775" s="1" t="str">
        <f t="shared" si="138"/>
        <v>04.02.2020</v>
      </c>
      <c r="C775" s="1" t="str">
        <f t="shared" si="135"/>
        <v>Закрито</v>
      </c>
      <c r="D77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75" s="1" t="str">
        <f>"Земельні питання"</f>
        <v>Земельні питання</v>
      </c>
      <c r="F7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75" s="1" t="str">
        <f>"3"</f>
        <v>3</v>
      </c>
      <c r="H775" s="1" t="str">
        <f>"Результат"</f>
        <v>Результат</v>
      </c>
      <c r="I775" s="1" t="str">
        <f t="shared" si="141"/>
        <v>Позитивний</v>
      </c>
      <c r="J775" s="1" t="str">
        <f t="shared" si="142"/>
        <v>Ні</v>
      </c>
    </row>
    <row r="776" spans="1:10" ht="135" x14ac:dyDescent="0.25">
      <c r="A776" s="1" t="str">
        <f>"767-2020/27"</f>
        <v>767-2020/27</v>
      </c>
      <c r="B776" s="1" t="str">
        <f t="shared" si="138"/>
        <v>04.02.2020</v>
      </c>
      <c r="C776" s="1" t="str">
        <f t="shared" si="135"/>
        <v>Закрито</v>
      </c>
      <c r="D77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76" s="1" t="str">
        <f>"Земельні питання"</f>
        <v>Земельні питання</v>
      </c>
      <c r="F7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76" s="1" t="str">
        <f>"3"</f>
        <v>3</v>
      </c>
      <c r="H776" s="1" t="str">
        <f>"Результат"</f>
        <v>Результат</v>
      </c>
      <c r="I776" s="1" t="str">
        <f t="shared" si="141"/>
        <v>Позитивний</v>
      </c>
      <c r="J776" s="1" t="str">
        <f t="shared" si="142"/>
        <v>Ні</v>
      </c>
    </row>
    <row r="777" spans="1:10" ht="135" x14ac:dyDescent="0.25">
      <c r="A777" s="1" t="str">
        <f>"784-2020/27"</f>
        <v>784-2020/27</v>
      </c>
      <c r="B777" s="1" t="str">
        <f t="shared" si="138"/>
        <v>04.02.2020</v>
      </c>
      <c r="C777" s="1" t="str">
        <f t="shared" si="135"/>
        <v>Закрито</v>
      </c>
      <c r="D77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77" s="1" t="str">
        <f>"Земельні питання"</f>
        <v>Земельні питання</v>
      </c>
      <c r="F7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77" s="1" t="str">
        <f>"3"</f>
        <v>3</v>
      </c>
      <c r="H777" s="1" t="str">
        <f>"Результат"</f>
        <v>Результат</v>
      </c>
      <c r="I777" s="1" t="str">
        <f t="shared" si="141"/>
        <v>Позитивний</v>
      </c>
      <c r="J777" s="1" t="str">
        <f t="shared" si="142"/>
        <v>Ні</v>
      </c>
    </row>
    <row r="778" spans="1:10" ht="135" x14ac:dyDescent="0.25">
      <c r="A778" s="1" t="str">
        <f>"763-2020/27"</f>
        <v>763-2020/27</v>
      </c>
      <c r="B778" s="1" t="str">
        <f t="shared" si="138"/>
        <v>04.02.2020</v>
      </c>
      <c r="C778" s="1" t="str">
        <f t="shared" si="135"/>
        <v>Закрито</v>
      </c>
      <c r="D77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78" s="1" t="str">
        <f>"Земельні питання"</f>
        <v>Земельні питання</v>
      </c>
      <c r="F7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78" s="1" t="str">
        <f>"3"</f>
        <v>3</v>
      </c>
      <c r="H778" s="1" t="str">
        <f>"Результат"</f>
        <v>Результат</v>
      </c>
      <c r="I778" s="1" t="str">
        <f t="shared" si="141"/>
        <v>Позитивний</v>
      </c>
      <c r="J778" s="1" t="str">
        <f t="shared" si="142"/>
        <v>Ні</v>
      </c>
    </row>
    <row r="779" spans="1:10" ht="135" x14ac:dyDescent="0.25">
      <c r="A779" s="1" t="str">
        <f>"794-2020/27"</f>
        <v>794-2020/27</v>
      </c>
      <c r="B779" s="1" t="str">
        <f t="shared" si="138"/>
        <v>04.02.2020</v>
      </c>
      <c r="C779" s="1" t="str">
        <f t="shared" si="135"/>
        <v>Закрито</v>
      </c>
      <c r="D77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79" s="1" t="str">
        <f>"Земельні питання"</f>
        <v>Земельні питання</v>
      </c>
      <c r="F7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79" s="1" t="str">
        <f>"1"</f>
        <v>1</v>
      </c>
      <c r="H779" s="1" t="str">
        <f>"Результат"</f>
        <v>Результат</v>
      </c>
      <c r="I779" s="1" t="str">
        <f t="shared" si="141"/>
        <v>Позитивний</v>
      </c>
      <c r="J779" s="1" t="str">
        <f>"Так"</f>
        <v>Так</v>
      </c>
    </row>
    <row r="780" spans="1:10" ht="45" x14ac:dyDescent="0.25">
      <c r="A780" s="1" t="str">
        <f>"756-2020/27"</f>
        <v>756-2020/27</v>
      </c>
      <c r="B780" s="1" t="str">
        <f t="shared" si="138"/>
        <v>04.02.2020</v>
      </c>
      <c r="C780" s="1" t="str">
        <f t="shared" si="135"/>
        <v>Закрито</v>
      </c>
      <c r="D780" s="1" t="str">
        <f>"Реєстрація місця проживання особи"</f>
        <v>Реєстрація місця проживання особи</v>
      </c>
      <c r="E780" s="1" t="str">
        <f>"Реєстрація місця проживання"</f>
        <v>Реєстрація місця проживання</v>
      </c>
      <c r="F780" s="1" t="str">
        <f>"Відділ реєстрації Новокаховської міської ради"</f>
        <v>Відділ реєстрації Новокаховської міської ради</v>
      </c>
      <c r="G780" s="1" t="str">
        <f>"1"</f>
        <v>1</v>
      </c>
      <c r="H780" s="1" t="str">
        <f>"Результат"</f>
        <v>Результат</v>
      </c>
      <c r="I780" s="1" t="str">
        <f t="shared" si="141"/>
        <v>Позитивний</v>
      </c>
      <c r="J780" s="1" t="str">
        <f>"Так"</f>
        <v>Так</v>
      </c>
    </row>
    <row r="781" spans="1:10" ht="135" x14ac:dyDescent="0.25">
      <c r="A781" s="1" t="str">
        <f>"779-2020/27"</f>
        <v>779-2020/27</v>
      </c>
      <c r="B781" s="1" t="str">
        <f t="shared" si="138"/>
        <v>04.02.2020</v>
      </c>
      <c r="C781" s="1" t="str">
        <f t="shared" si="135"/>
        <v>Закрито</v>
      </c>
      <c r="D78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81" s="1" t="str">
        <f>"Земельні питання"</f>
        <v>Земельні питання</v>
      </c>
      <c r="F7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81" s="1" t="str">
        <f>"1"</f>
        <v>1</v>
      </c>
      <c r="H781" s="1" t="str">
        <f>"Результат"</f>
        <v>Результат</v>
      </c>
      <c r="I781" s="1" t="str">
        <f t="shared" si="141"/>
        <v>Позитивний</v>
      </c>
      <c r="J781" s="1" t="str">
        <f>"Так"</f>
        <v>Так</v>
      </c>
    </row>
    <row r="782" spans="1:10" ht="135" x14ac:dyDescent="0.25">
      <c r="A782" s="1" t="str">
        <f>"774-2020/27"</f>
        <v>774-2020/27</v>
      </c>
      <c r="B782" s="1" t="str">
        <f t="shared" si="138"/>
        <v>04.02.2020</v>
      </c>
      <c r="C782" s="1" t="str">
        <f t="shared" si="135"/>
        <v>Закрито</v>
      </c>
      <c r="D78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82" s="1" t="str">
        <f>"Земельні питання"</f>
        <v>Земельні питання</v>
      </c>
      <c r="F7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82" s="1" t="str">
        <f>"3"</f>
        <v>3</v>
      </c>
      <c r="H782" s="1" t="str">
        <f>"Результат"</f>
        <v>Результат</v>
      </c>
      <c r="I782" s="1" t="str">
        <f t="shared" si="141"/>
        <v>Позитивний</v>
      </c>
      <c r="J782" s="1" t="str">
        <f>"Ні"</f>
        <v>Ні</v>
      </c>
    </row>
    <row r="783" spans="1:10" ht="90" x14ac:dyDescent="0.25">
      <c r="A783" s="1" t="str">
        <f>"781-2020/27"</f>
        <v>781-2020/27</v>
      </c>
      <c r="B783" s="1" t="str">
        <f t="shared" si="138"/>
        <v>04.02.2020</v>
      </c>
      <c r="C783" s="1" t="str">
        <f t="shared" si="135"/>
        <v>Закрито</v>
      </c>
      <c r="D78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783" s="1" t="str">
        <f>"Інші послуги"</f>
        <v>Інші послуги</v>
      </c>
      <c r="F78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783" s="1" t="str">
        <f>"5"</f>
        <v>5</v>
      </c>
      <c r="H783" s="1" t="str">
        <f>"Результат"</f>
        <v>Результат</v>
      </c>
      <c r="I783" s="1" t="str">
        <f t="shared" si="141"/>
        <v>Позитивний</v>
      </c>
      <c r="J783" s="1" t="str">
        <f>"Ні"</f>
        <v>Ні</v>
      </c>
    </row>
    <row r="784" spans="1:10" ht="45" x14ac:dyDescent="0.25">
      <c r="A784" s="1" t="str">
        <f>"778-2020/27"</f>
        <v>778-2020/27</v>
      </c>
      <c r="B784" s="1" t="str">
        <f t="shared" si="138"/>
        <v>04.02.2020</v>
      </c>
      <c r="C784" s="1" t="str">
        <f t="shared" si="135"/>
        <v>Закрито</v>
      </c>
      <c r="D784" s="1" t="str">
        <f>"Зняття з реєстрації місця проживання"</f>
        <v>Зняття з реєстрації місця проживання</v>
      </c>
      <c r="E784" s="1" t="str">
        <f>"Реєстрація місця проживання"</f>
        <v>Реєстрація місця проживання</v>
      </c>
      <c r="F784" s="1" t="str">
        <f>"Відділ реєстрації Новокаховської міської ради"</f>
        <v>Відділ реєстрації Новокаховської міської ради</v>
      </c>
      <c r="G784" s="1" t="str">
        <f>"1"</f>
        <v>1</v>
      </c>
      <c r="H784" s="1" t="str">
        <f>"Результат"</f>
        <v>Результат</v>
      </c>
      <c r="I784" s="1" t="str">
        <f t="shared" si="141"/>
        <v>Позитивний</v>
      </c>
      <c r="J784" s="1" t="str">
        <f>"Так"</f>
        <v>Так</v>
      </c>
    </row>
    <row r="785" spans="1:10" ht="45" x14ac:dyDescent="0.25">
      <c r="A785" s="1" t="str">
        <f>"786-2020/27"</f>
        <v>786-2020/27</v>
      </c>
      <c r="B785" s="1" t="str">
        <f t="shared" si="138"/>
        <v>04.02.2020</v>
      </c>
      <c r="C785" s="1" t="str">
        <f t="shared" si="135"/>
        <v>Закрито</v>
      </c>
      <c r="D785" s="1" t="str">
        <f>"Реєстрація місця проживання особи"</f>
        <v>Реєстрація місця проживання особи</v>
      </c>
      <c r="E785" s="1" t="str">
        <f>"Реєстрація місця проживання"</f>
        <v>Реєстрація місця проживання</v>
      </c>
      <c r="F785" s="1" t="str">
        <f>"Відділ реєстрації Новокаховської міської ради"</f>
        <v>Відділ реєстрації Новокаховської міської ради</v>
      </c>
      <c r="G785" s="1" t="str">
        <f>"1"</f>
        <v>1</v>
      </c>
      <c r="H785" s="1" t="str">
        <f>"Результат"</f>
        <v>Результат</v>
      </c>
      <c r="I785" s="1" t="str">
        <f t="shared" si="141"/>
        <v>Позитивний</v>
      </c>
      <c r="J785" s="1" t="str">
        <f>"Так"</f>
        <v>Так</v>
      </c>
    </row>
    <row r="786" spans="1:10" ht="45" x14ac:dyDescent="0.25">
      <c r="A786" s="1" t="str">
        <f>"771-2020/27"</f>
        <v>771-2020/27</v>
      </c>
      <c r="B786" s="1" t="str">
        <f t="shared" si="138"/>
        <v>04.02.2020</v>
      </c>
      <c r="C786" s="1" t="str">
        <f t="shared" si="135"/>
        <v>Закрито</v>
      </c>
      <c r="D786" s="1" t="str">
        <f>"Реєстрація місця проживання особи"</f>
        <v>Реєстрація місця проживання особи</v>
      </c>
      <c r="E786" s="1" t="str">
        <f>"Реєстрація місця проживання"</f>
        <v>Реєстрація місця проживання</v>
      </c>
      <c r="F786" s="1" t="str">
        <f>"Відділ реєстрації Новокаховської міської ради"</f>
        <v>Відділ реєстрації Новокаховської міської ради</v>
      </c>
      <c r="G786" s="1" t="str">
        <f>"1"</f>
        <v>1</v>
      </c>
      <c r="H786" s="1" t="str">
        <f>"Результат"</f>
        <v>Результат</v>
      </c>
      <c r="I786" s="1" t="str">
        <f t="shared" si="141"/>
        <v>Позитивний</v>
      </c>
      <c r="J786" s="1" t="str">
        <f>"Так"</f>
        <v>Так</v>
      </c>
    </row>
    <row r="787" spans="1:10" ht="135" x14ac:dyDescent="0.25">
      <c r="A787" s="1" t="str">
        <f>"768-2020/27"</f>
        <v>768-2020/27</v>
      </c>
      <c r="B787" s="1" t="str">
        <f t="shared" si="138"/>
        <v>04.02.2020</v>
      </c>
      <c r="C787" s="1" t="str">
        <f t="shared" si="135"/>
        <v>Закрито</v>
      </c>
      <c r="D78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87" s="1" t="str">
        <f>"Земельні питання"</f>
        <v>Земельні питання</v>
      </c>
      <c r="F7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87" s="1" t="str">
        <f>"3"</f>
        <v>3</v>
      </c>
      <c r="H787" s="1" t="str">
        <f>"Результат"</f>
        <v>Результат</v>
      </c>
      <c r="I787" s="1" t="str">
        <f>"Мотивована відмова"</f>
        <v>Мотивована відмова</v>
      </c>
      <c r="J787" s="1" t="str">
        <f>"Ні"</f>
        <v>Ні</v>
      </c>
    </row>
    <row r="788" spans="1:10" ht="105" x14ac:dyDescent="0.25">
      <c r="A788" s="1" t="str">
        <f>"769-2020/27"</f>
        <v>769-2020/27</v>
      </c>
      <c r="B788" s="1" t="str">
        <f t="shared" si="138"/>
        <v>04.02.2020</v>
      </c>
      <c r="C788" s="1" t="str">
        <f t="shared" si="135"/>
        <v>Закрито</v>
      </c>
      <c r="D78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788" s="1" t="str">
        <f>"Земельні питання"</f>
        <v>Земельні питання</v>
      </c>
      <c r="F78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788" s="1" t="str">
        <f>"1"</f>
        <v>1</v>
      </c>
      <c r="H788" s="1" t="str">
        <f>"Результат"</f>
        <v>Результат</v>
      </c>
      <c r="I788" s="1" t="str">
        <f>"Позитивний"</f>
        <v>Позитивний</v>
      </c>
      <c r="J788" s="1" t="str">
        <f>"Так"</f>
        <v>Так</v>
      </c>
    </row>
    <row r="789" spans="1:10" ht="45" x14ac:dyDescent="0.25">
      <c r="A789" s="1" t="str">
        <f>"791-2020/27"</f>
        <v>791-2020/27</v>
      </c>
      <c r="B789" s="1" t="str">
        <f t="shared" si="138"/>
        <v>04.02.2020</v>
      </c>
      <c r="C789" s="1" t="str">
        <f t="shared" si="135"/>
        <v>Закрито</v>
      </c>
      <c r="D789" s="1" t="str">
        <f>"Реєстрація місця проживання особи"</f>
        <v>Реєстрація місця проживання особи</v>
      </c>
      <c r="E789" s="1" t="str">
        <f>"Реєстрація місця проживання"</f>
        <v>Реєстрація місця проживання</v>
      </c>
      <c r="F789" s="1" t="str">
        <f>"Відділ реєстрації Новокаховської міської ради"</f>
        <v>Відділ реєстрації Новокаховської міської ради</v>
      </c>
      <c r="G789" s="1" t="str">
        <f>"1"</f>
        <v>1</v>
      </c>
      <c r="H789" s="1" t="str">
        <f>"Результат"</f>
        <v>Результат</v>
      </c>
      <c r="I789" s="1" t="str">
        <f>"Мотивована відмова"</f>
        <v>Мотивована відмова</v>
      </c>
      <c r="J789" s="1" t="str">
        <f>"Так"</f>
        <v>Так</v>
      </c>
    </row>
    <row r="790" spans="1:10" ht="45" x14ac:dyDescent="0.25">
      <c r="A790" s="1" t="str">
        <f>"789-2020/27"</f>
        <v>789-2020/27</v>
      </c>
      <c r="B790" s="1" t="str">
        <f t="shared" si="138"/>
        <v>04.02.2020</v>
      </c>
      <c r="C790" s="1" t="str">
        <f t="shared" si="135"/>
        <v>Закрито</v>
      </c>
      <c r="D790" s="1" t="str">
        <f>"Реєстрація місця проживання особи"</f>
        <v>Реєстрація місця проживання особи</v>
      </c>
      <c r="E790" s="1" t="str">
        <f>"Реєстрація місця проживання"</f>
        <v>Реєстрація місця проживання</v>
      </c>
      <c r="F790" s="1" t="str">
        <f>"Відділ реєстрації Новокаховської міської ради"</f>
        <v>Відділ реєстрації Новокаховської міської ради</v>
      </c>
      <c r="G790" s="1" t="str">
        <f>"1"</f>
        <v>1</v>
      </c>
      <c r="H790" s="1" t="str">
        <f>"Результат"</f>
        <v>Результат</v>
      </c>
      <c r="I790" s="1" t="str">
        <f t="shared" ref="I790:I802" si="143">"Позитивний"</f>
        <v>Позитивний</v>
      </c>
      <c r="J790" s="1" t="str">
        <f>"Так"</f>
        <v>Так</v>
      </c>
    </row>
    <row r="791" spans="1:10" ht="135" x14ac:dyDescent="0.25">
      <c r="A791" s="1" t="str">
        <f>"761-2020/27"</f>
        <v>761-2020/27</v>
      </c>
      <c r="B791" s="1" t="str">
        <f t="shared" si="138"/>
        <v>04.02.2020</v>
      </c>
      <c r="C791" s="1" t="str">
        <f t="shared" si="135"/>
        <v>Закрито</v>
      </c>
      <c r="D79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91" s="1" t="str">
        <f>"Земельні питання"</f>
        <v>Земельні питання</v>
      </c>
      <c r="F7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91" s="1" t="str">
        <f>"3"</f>
        <v>3</v>
      </c>
      <c r="H791" s="1" t="str">
        <f>"Результат"</f>
        <v>Результат</v>
      </c>
      <c r="I791" s="1" t="str">
        <f t="shared" si="143"/>
        <v>Позитивний</v>
      </c>
      <c r="J791" s="1" t="str">
        <f>"Ні"</f>
        <v>Ні</v>
      </c>
    </row>
    <row r="792" spans="1:10" ht="120" x14ac:dyDescent="0.25">
      <c r="A792" s="1" t="str">
        <f>"792-2020/27"</f>
        <v>792-2020/27</v>
      </c>
      <c r="B792" s="1" t="str">
        <f t="shared" si="138"/>
        <v>04.02.2020</v>
      </c>
      <c r="C792" s="1" t="str">
        <f t="shared" si="135"/>
        <v>Закрито</v>
      </c>
      <c r="D792" s="1" t="str">
        <f>"Видача сертифіката прийняття в експлуатацію об'єкта, що за класом наслідків (відповідальності) належить до об'єктів із середніми наслідками (СС2)"</f>
        <v>Видача сертифіката прийняття в експлуатацію об'єкта, що за класом наслідків (відповідальності) належить до об'єктів із середніми наслідками (СС2)</v>
      </c>
      <c r="E792" s="1" t="str">
        <f>"Будівництво"</f>
        <v>Будівництво</v>
      </c>
      <c r="F79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792" s="1" t="str">
        <f>"10"</f>
        <v>10</v>
      </c>
      <c r="H792" s="1" t="str">
        <f>"Результат"</f>
        <v>Результат</v>
      </c>
      <c r="I792" s="1" t="str">
        <f t="shared" si="143"/>
        <v>Позитивний</v>
      </c>
      <c r="J792" s="1" t="str">
        <f>"Ні"</f>
        <v>Ні</v>
      </c>
    </row>
    <row r="793" spans="1:10" ht="135" x14ac:dyDescent="0.25">
      <c r="A793" s="1" t="str">
        <f>"764-2020/27"</f>
        <v>764-2020/27</v>
      </c>
      <c r="B793" s="1" t="str">
        <f t="shared" si="138"/>
        <v>04.02.2020</v>
      </c>
      <c r="C793" s="1" t="str">
        <f t="shared" si="135"/>
        <v>Закрито</v>
      </c>
      <c r="D7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93" s="1" t="str">
        <f>"Земельні питання"</f>
        <v>Земельні питання</v>
      </c>
      <c r="F7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93" s="1" t="str">
        <f>"3"</f>
        <v>3</v>
      </c>
      <c r="H793" s="1" t="str">
        <f>"Результат"</f>
        <v>Результат</v>
      </c>
      <c r="I793" s="1" t="str">
        <f t="shared" si="143"/>
        <v>Позитивний</v>
      </c>
      <c r="J793" s="1" t="str">
        <f>"Ні"</f>
        <v>Ні</v>
      </c>
    </row>
    <row r="794" spans="1:10" ht="225" x14ac:dyDescent="0.25">
      <c r="A794" s="1" t="str">
        <f>"785-2020/27"</f>
        <v>785-2020/27</v>
      </c>
      <c r="B794" s="1" t="str">
        <f t="shared" si="138"/>
        <v>04.02.2020</v>
      </c>
      <c r="C794" s="1" t="str">
        <f t="shared" si="135"/>
        <v>Закрито</v>
      </c>
      <c r="D794" s="1" t="s">
        <v>0</v>
      </c>
      <c r="E794" s="1" t="str">
        <f>"Будівництво"</f>
        <v>Будівництво</v>
      </c>
      <c r="F79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794" s="1" t="str">
        <f>"10"</f>
        <v>10</v>
      </c>
      <c r="H794" s="1" t="str">
        <f>"Результат"</f>
        <v>Результат</v>
      </c>
      <c r="I794" s="1" t="str">
        <f t="shared" si="143"/>
        <v>Позитивний</v>
      </c>
      <c r="J794" s="1" t="str">
        <f>"Ні"</f>
        <v>Ні</v>
      </c>
    </row>
    <row r="795" spans="1:10" ht="45" x14ac:dyDescent="0.25">
      <c r="A795" s="1" t="str">
        <f>"775-2020/27"</f>
        <v>775-2020/27</v>
      </c>
      <c r="B795" s="1" t="str">
        <f t="shared" si="138"/>
        <v>04.02.2020</v>
      </c>
      <c r="C795" s="1" t="str">
        <f t="shared" si="135"/>
        <v>Закрито</v>
      </c>
      <c r="D795" s="1" t="str">
        <f>"Реєстрація місця проживання особи"</f>
        <v>Реєстрація місця проживання особи</v>
      </c>
      <c r="E795" s="1" t="str">
        <f>"Реєстрація місця проживання"</f>
        <v>Реєстрація місця проживання</v>
      </c>
      <c r="F795" s="1" t="str">
        <f>"Відділ реєстрації Новокаховської міської ради"</f>
        <v>Відділ реєстрації Новокаховської міської ради</v>
      </c>
      <c r="G795" s="1" t="str">
        <f>"1"</f>
        <v>1</v>
      </c>
      <c r="H795" s="1" t="str">
        <f>"Результат"</f>
        <v>Результат</v>
      </c>
      <c r="I795" s="1" t="str">
        <f t="shared" si="143"/>
        <v>Позитивний</v>
      </c>
      <c r="J795" s="1" t="str">
        <f>"Так"</f>
        <v>Так</v>
      </c>
    </row>
    <row r="796" spans="1:10" ht="45" x14ac:dyDescent="0.25">
      <c r="A796" s="1" t="str">
        <f>"753-2020/27"</f>
        <v>753-2020/27</v>
      </c>
      <c r="B796" s="1" t="str">
        <f t="shared" si="138"/>
        <v>04.02.2020</v>
      </c>
      <c r="C796" s="1" t="str">
        <f t="shared" si="135"/>
        <v>Закрито</v>
      </c>
      <c r="D796" s="1" t="str">
        <f>"Зняття з реєстрації місця проживання"</f>
        <v>Зняття з реєстрації місця проживання</v>
      </c>
      <c r="E796" s="1" t="str">
        <f>"Реєстрація місця проживання"</f>
        <v>Реєстрація місця проживання</v>
      </c>
      <c r="F796" s="1" t="str">
        <f>"Відділ реєстрації Новокаховської міської ради"</f>
        <v>Відділ реєстрації Новокаховської міської ради</v>
      </c>
      <c r="G796" s="1" t="str">
        <f>"1"</f>
        <v>1</v>
      </c>
      <c r="H796" s="1" t="str">
        <f>"Результат"</f>
        <v>Результат</v>
      </c>
      <c r="I796" s="1" t="str">
        <f t="shared" si="143"/>
        <v>Позитивний</v>
      </c>
      <c r="J796" s="1" t="str">
        <f>"Так"</f>
        <v>Так</v>
      </c>
    </row>
    <row r="797" spans="1:10" ht="135" x14ac:dyDescent="0.25">
      <c r="A797" s="1" t="str">
        <f>"765-2020/27"</f>
        <v>765-2020/27</v>
      </c>
      <c r="B797" s="1" t="str">
        <f t="shared" si="138"/>
        <v>04.02.2020</v>
      </c>
      <c r="C797" s="1" t="str">
        <f t="shared" si="135"/>
        <v>Закрито</v>
      </c>
      <c r="D7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97" s="1" t="str">
        <f>"Земельні питання"</f>
        <v>Земельні питання</v>
      </c>
      <c r="F7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97" s="1" t="str">
        <f>"3"</f>
        <v>3</v>
      </c>
      <c r="H797" s="1" t="str">
        <f>"Результат"</f>
        <v>Результат</v>
      </c>
      <c r="I797" s="1" t="str">
        <f t="shared" si="143"/>
        <v>Позитивний</v>
      </c>
      <c r="J797" s="1" t="str">
        <f>"Ні"</f>
        <v>Ні</v>
      </c>
    </row>
    <row r="798" spans="1:10" ht="45" x14ac:dyDescent="0.25">
      <c r="A798" s="1" t="str">
        <f>"758-2020/27"</f>
        <v>758-2020/27</v>
      </c>
      <c r="B798" s="1" t="str">
        <f t="shared" si="138"/>
        <v>04.02.2020</v>
      </c>
      <c r="C798" s="1" t="str">
        <f t="shared" si="135"/>
        <v>Закрито</v>
      </c>
      <c r="D798" s="1" t="str">
        <f>"Реєстрація місця проживання особи"</f>
        <v>Реєстрація місця проживання особи</v>
      </c>
      <c r="E798" s="1" t="str">
        <f>"Реєстрація місця проживання"</f>
        <v>Реєстрація місця проживання</v>
      </c>
      <c r="F798" s="1" t="str">
        <f>"Відділ реєстрації Новокаховської міської ради"</f>
        <v>Відділ реєстрації Новокаховської міської ради</v>
      </c>
      <c r="G798" s="1" t="str">
        <f>"1"</f>
        <v>1</v>
      </c>
      <c r="H798" s="1" t="str">
        <f>"Результат"</f>
        <v>Результат</v>
      </c>
      <c r="I798" s="1" t="str">
        <f t="shared" si="143"/>
        <v>Позитивний</v>
      </c>
      <c r="J798" s="1" t="str">
        <f>"Так"</f>
        <v>Так</v>
      </c>
    </row>
    <row r="799" spans="1:10" ht="135" x14ac:dyDescent="0.25">
      <c r="A799" s="1" t="str">
        <f>"782-2020/27"</f>
        <v>782-2020/27</v>
      </c>
      <c r="B799" s="1" t="str">
        <f t="shared" si="138"/>
        <v>04.02.2020</v>
      </c>
      <c r="C799" s="1" t="str">
        <f t="shared" si="135"/>
        <v>Закрито</v>
      </c>
      <c r="D79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799" s="1" t="str">
        <f>"Земельні питання"</f>
        <v>Земельні питання</v>
      </c>
      <c r="F7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799" s="1" t="str">
        <f>"3"</f>
        <v>3</v>
      </c>
      <c r="H799" s="1" t="str">
        <f>"Результат"</f>
        <v>Результат</v>
      </c>
      <c r="I799" s="1" t="str">
        <f t="shared" si="143"/>
        <v>Позитивний</v>
      </c>
      <c r="J799" s="1" t="str">
        <f>"Ні"</f>
        <v>Ні</v>
      </c>
    </row>
    <row r="800" spans="1:10" ht="45" x14ac:dyDescent="0.25">
      <c r="A800" s="1" t="str">
        <f>"805-2020/27"</f>
        <v>805-2020/27</v>
      </c>
      <c r="B800" s="1" t="str">
        <f t="shared" ref="B800:B827" si="144">"05.02.2020"</f>
        <v>05.02.2020</v>
      </c>
      <c r="C800" s="1" t="str">
        <f t="shared" si="135"/>
        <v>Закрито</v>
      </c>
      <c r="D800" s="1" t="str">
        <f>"Реєстрація місця проживання особи"</f>
        <v>Реєстрація місця проживання особи</v>
      </c>
      <c r="E800" s="1" t="str">
        <f>"Реєстрація місця проживання"</f>
        <v>Реєстрація місця проживання</v>
      </c>
      <c r="F800" s="1" t="str">
        <f>"Відділ реєстрації Новокаховської міської ради"</f>
        <v>Відділ реєстрації Новокаховської міської ради</v>
      </c>
      <c r="G800" s="1" t="str">
        <f>"1"</f>
        <v>1</v>
      </c>
      <c r="H800" s="1" t="str">
        <f>"Результат"</f>
        <v>Результат</v>
      </c>
      <c r="I800" s="1" t="str">
        <f t="shared" si="143"/>
        <v>Позитивний</v>
      </c>
      <c r="J800" s="1" t="str">
        <f>"Так"</f>
        <v>Так</v>
      </c>
    </row>
    <row r="801" spans="1:10" ht="45" x14ac:dyDescent="0.25">
      <c r="A801" s="1" t="str">
        <f>"796-2020/27"</f>
        <v>796-2020/27</v>
      </c>
      <c r="B801" s="1" t="str">
        <f t="shared" si="144"/>
        <v>05.02.2020</v>
      </c>
      <c r="C801" s="1" t="str">
        <f t="shared" si="135"/>
        <v>Закрито</v>
      </c>
      <c r="D801" s="1" t="str">
        <f>"Зняття з реєстрації місця проживання"</f>
        <v>Зняття з реєстрації місця проживання</v>
      </c>
      <c r="E801" s="1" t="str">
        <f>"Реєстрація місця проживання"</f>
        <v>Реєстрація місця проживання</v>
      </c>
      <c r="F801" s="1" t="str">
        <f>"Відділ реєстрації Новокаховської міської ради"</f>
        <v>Відділ реєстрації Новокаховської міської ради</v>
      </c>
      <c r="G801" s="1" t="str">
        <f>"1"</f>
        <v>1</v>
      </c>
      <c r="H801" s="1" t="str">
        <f>"Результат"</f>
        <v>Результат</v>
      </c>
      <c r="I801" s="1" t="str">
        <f t="shared" si="143"/>
        <v>Позитивний</v>
      </c>
      <c r="J801" s="1" t="str">
        <f>"Так"</f>
        <v>Так</v>
      </c>
    </row>
    <row r="802" spans="1:10" ht="135" x14ac:dyDescent="0.25">
      <c r="A802" s="1" t="str">
        <f>"817-2020/27"</f>
        <v>817-2020/27</v>
      </c>
      <c r="B802" s="1" t="str">
        <f t="shared" si="144"/>
        <v>05.02.2020</v>
      </c>
      <c r="C802" s="1" t="str">
        <f t="shared" si="135"/>
        <v>Закрито</v>
      </c>
      <c r="D8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02" s="1" t="str">
        <f>"Земельні питання"</f>
        <v>Земельні питання</v>
      </c>
      <c r="F8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02" s="1" t="str">
        <f>"3"</f>
        <v>3</v>
      </c>
      <c r="H802" s="1" t="str">
        <f>"Результат"</f>
        <v>Результат</v>
      </c>
      <c r="I802" s="1" t="str">
        <f t="shared" si="143"/>
        <v>Позитивний</v>
      </c>
      <c r="J802" s="1" t="str">
        <f>"Ні"</f>
        <v>Ні</v>
      </c>
    </row>
    <row r="803" spans="1:10" ht="225" x14ac:dyDescent="0.25">
      <c r="A803" s="1" t="str">
        <f>"806-2020/27"</f>
        <v>806-2020/27</v>
      </c>
      <c r="B803" s="1" t="str">
        <f t="shared" si="144"/>
        <v>05.02.2020</v>
      </c>
      <c r="C803" s="1" t="str">
        <f>"На обробці в адмін. органі"</f>
        <v>На обробці в адмін. органі</v>
      </c>
      <c r="D803" s="1" t="s">
        <v>2</v>
      </c>
      <c r="E803" s="1" t="str">
        <f>"Будівництво"</f>
        <v>Будівництво</v>
      </c>
      <c r="F80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803" s="1" t="str">
        <f>"30"</f>
        <v>30</v>
      </c>
      <c r="H803" s="1" t="str">
        <f>""</f>
        <v/>
      </c>
      <c r="I803" s="1" t="str">
        <f>""</f>
        <v/>
      </c>
      <c r="J803" s="1" t="str">
        <f>"Ні"</f>
        <v>Ні</v>
      </c>
    </row>
    <row r="804" spans="1:10" ht="225" x14ac:dyDescent="0.25">
      <c r="A804" s="1" t="str">
        <f>"819-2020/27"</f>
        <v>819-2020/27</v>
      </c>
      <c r="B804" s="1" t="str">
        <f t="shared" si="144"/>
        <v>05.02.2020</v>
      </c>
      <c r="C804" s="1" t="str">
        <f t="shared" ref="C804:C867" si="145">"Закрито"</f>
        <v>Закрито</v>
      </c>
      <c r="D804" s="1" t="s">
        <v>1</v>
      </c>
      <c r="E804" s="1" t="str">
        <f>"Будівництво"</f>
        <v>Будівництво</v>
      </c>
      <c r="F80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804" s="1" t="str">
        <f>"30"</f>
        <v>30</v>
      </c>
      <c r="H804" s="1" t="str">
        <f>"Результат"</f>
        <v>Результат</v>
      </c>
      <c r="I804" s="1" t="str">
        <f t="shared" ref="I804:I835" si="146">"Позитивний"</f>
        <v>Позитивний</v>
      </c>
      <c r="J804" s="1" t="str">
        <f>"Ні"</f>
        <v>Ні</v>
      </c>
    </row>
    <row r="805" spans="1:10" ht="135" x14ac:dyDescent="0.25">
      <c r="A805" s="1" t="str">
        <f>"804-2020/27"</f>
        <v>804-2020/27</v>
      </c>
      <c r="B805" s="1" t="str">
        <f t="shared" si="144"/>
        <v>05.02.2020</v>
      </c>
      <c r="C805" s="1" t="str">
        <f t="shared" si="145"/>
        <v>Закрито</v>
      </c>
      <c r="D805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805" s="1" t="str">
        <f>"Земельні питання"</f>
        <v>Земельні питання</v>
      </c>
      <c r="F8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05" s="1" t="str">
        <f>"14"</f>
        <v>14</v>
      </c>
      <c r="H805" s="1" t="str">
        <f>"Результат"</f>
        <v>Результат</v>
      </c>
      <c r="I805" s="1" t="str">
        <f t="shared" si="146"/>
        <v>Позитивний</v>
      </c>
      <c r="J805" s="1" t="str">
        <f>"Ні"</f>
        <v>Ні</v>
      </c>
    </row>
    <row r="806" spans="1:10" ht="45" x14ac:dyDescent="0.25">
      <c r="A806" s="1" t="str">
        <f>"801-2020/27"</f>
        <v>801-2020/27</v>
      </c>
      <c r="B806" s="1" t="str">
        <f t="shared" si="144"/>
        <v>05.02.2020</v>
      </c>
      <c r="C806" s="1" t="str">
        <f t="shared" si="145"/>
        <v>Закрито</v>
      </c>
      <c r="D806" s="1" t="str">
        <f>"Зняття з реєстрації місця проживання"</f>
        <v>Зняття з реєстрації місця проживання</v>
      </c>
      <c r="E806" s="1" t="str">
        <f>"Реєстрація місця проживання"</f>
        <v>Реєстрація місця проживання</v>
      </c>
      <c r="F806" s="1" t="str">
        <f>"Відділ реєстрації Новокаховської міської ради"</f>
        <v>Відділ реєстрації Новокаховської міської ради</v>
      </c>
      <c r="G806" s="1" t="str">
        <f>"1"</f>
        <v>1</v>
      </c>
      <c r="H806" s="1" t="str">
        <f>"Результат"</f>
        <v>Результат</v>
      </c>
      <c r="I806" s="1" t="str">
        <f t="shared" si="146"/>
        <v>Позитивний</v>
      </c>
      <c r="J806" s="1" t="str">
        <f>"Так"</f>
        <v>Так</v>
      </c>
    </row>
    <row r="807" spans="1:10" ht="45" x14ac:dyDescent="0.25">
      <c r="A807" s="1" t="str">
        <f>"799-2020/27"</f>
        <v>799-2020/27</v>
      </c>
      <c r="B807" s="1" t="str">
        <f t="shared" si="144"/>
        <v>05.02.2020</v>
      </c>
      <c r="C807" s="1" t="str">
        <f t="shared" si="145"/>
        <v>Закрито</v>
      </c>
      <c r="D807" s="1" t="str">
        <f>"Реєстрація місця проживання особи"</f>
        <v>Реєстрація місця проживання особи</v>
      </c>
      <c r="E807" s="1" t="str">
        <f>"Реєстрація місця проживання"</f>
        <v>Реєстрація місця проживання</v>
      </c>
      <c r="F807" s="1" t="str">
        <f>"Відділ реєстрації Новокаховської міської ради"</f>
        <v>Відділ реєстрації Новокаховської міської ради</v>
      </c>
      <c r="G807" s="1" t="str">
        <f>"1"</f>
        <v>1</v>
      </c>
      <c r="H807" s="1" t="str">
        <f>"Результат"</f>
        <v>Результат</v>
      </c>
      <c r="I807" s="1" t="str">
        <f t="shared" si="146"/>
        <v>Позитивний</v>
      </c>
      <c r="J807" s="1" t="str">
        <f>"Так"</f>
        <v>Так</v>
      </c>
    </row>
    <row r="808" spans="1:10" ht="225" x14ac:dyDescent="0.25">
      <c r="A808" s="1" t="str">
        <f>"821-2020/27"</f>
        <v>821-2020/27</v>
      </c>
      <c r="B808" s="1" t="str">
        <f t="shared" si="144"/>
        <v>05.02.2020</v>
      </c>
      <c r="C808" s="1" t="str">
        <f t="shared" si="145"/>
        <v>Закрито</v>
      </c>
      <c r="D808" s="1" t="s">
        <v>1</v>
      </c>
      <c r="E808" s="1" t="str">
        <f>"Будівництво"</f>
        <v>Будівництво</v>
      </c>
      <c r="F80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808" s="1" t="str">
        <f>"30"</f>
        <v>30</v>
      </c>
      <c r="H808" s="1" t="str">
        <f>"Результат"</f>
        <v>Результат</v>
      </c>
      <c r="I808" s="1" t="str">
        <f t="shared" si="146"/>
        <v>Позитивний</v>
      </c>
      <c r="J808" s="1" t="str">
        <f>"Ні"</f>
        <v>Ні</v>
      </c>
    </row>
    <row r="809" spans="1:10" ht="135" x14ac:dyDescent="0.25">
      <c r="A809" s="1" t="str">
        <f>"816-2020/27"</f>
        <v>816-2020/27</v>
      </c>
      <c r="B809" s="1" t="str">
        <f t="shared" si="144"/>
        <v>05.02.2020</v>
      </c>
      <c r="C809" s="1" t="str">
        <f t="shared" si="145"/>
        <v>Закрито</v>
      </c>
      <c r="D80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809" s="1" t="str">
        <f>"Земельні питання"</f>
        <v>Земельні питання</v>
      </c>
      <c r="F8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09" s="1" t="str">
        <f>"14"</f>
        <v>14</v>
      </c>
      <c r="H809" s="1" t="str">
        <f>"Результат"</f>
        <v>Результат</v>
      </c>
      <c r="I809" s="1" t="str">
        <f t="shared" si="146"/>
        <v>Позитивний</v>
      </c>
      <c r="J809" s="1" t="str">
        <f>"Ні"</f>
        <v>Ні</v>
      </c>
    </row>
    <row r="810" spans="1:10" ht="45" x14ac:dyDescent="0.25">
      <c r="A810" s="1" t="str">
        <f>"814-2020/27"</f>
        <v>814-2020/27</v>
      </c>
      <c r="B810" s="1" t="str">
        <f t="shared" si="144"/>
        <v>05.02.2020</v>
      </c>
      <c r="C810" s="1" t="str">
        <f t="shared" si="145"/>
        <v>Закрито</v>
      </c>
      <c r="D810" s="1" t="str">
        <f>"Зняття з реєстрації місця проживання"</f>
        <v>Зняття з реєстрації місця проживання</v>
      </c>
      <c r="E810" s="1" t="str">
        <f>"Реєстрація місця проживання"</f>
        <v>Реєстрація місця проживання</v>
      </c>
      <c r="F810" s="1" t="str">
        <f>"Відділ реєстрації Новокаховської міської ради"</f>
        <v>Відділ реєстрації Новокаховської міської ради</v>
      </c>
      <c r="G810" s="1" t="str">
        <f>"1"</f>
        <v>1</v>
      </c>
      <c r="H810" s="1" t="str">
        <f>"Результат"</f>
        <v>Результат</v>
      </c>
      <c r="I810" s="1" t="str">
        <f t="shared" si="146"/>
        <v>Позитивний</v>
      </c>
      <c r="J810" s="1" t="str">
        <f>"Так"</f>
        <v>Так</v>
      </c>
    </row>
    <row r="811" spans="1:10" ht="105" x14ac:dyDescent="0.25">
      <c r="A811" s="1" t="str">
        <f>"807-2020/27"</f>
        <v>807-2020/27</v>
      </c>
      <c r="B811" s="1" t="str">
        <f t="shared" si="144"/>
        <v>05.02.2020</v>
      </c>
      <c r="C811" s="1" t="str">
        <f t="shared" si="145"/>
        <v>Закрито</v>
      </c>
      <c r="D81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11" s="1" t="str">
        <f>"Земельні питання"</f>
        <v>Земельні питання</v>
      </c>
      <c r="F81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811" s="1" t="str">
        <f>"1"</f>
        <v>1</v>
      </c>
      <c r="H811" s="1" t="str">
        <f>"Результат"</f>
        <v>Результат</v>
      </c>
      <c r="I811" s="1" t="str">
        <f t="shared" si="146"/>
        <v>Позитивний</v>
      </c>
      <c r="J811" s="1" t="str">
        <f>"Так"</f>
        <v>Так</v>
      </c>
    </row>
    <row r="812" spans="1:10" ht="135" x14ac:dyDescent="0.25">
      <c r="A812" s="1" t="str">
        <f>"811-2020/27"</f>
        <v>811-2020/27</v>
      </c>
      <c r="B812" s="1" t="str">
        <f t="shared" si="144"/>
        <v>05.02.2020</v>
      </c>
      <c r="C812" s="1" t="str">
        <f t="shared" si="145"/>
        <v>Закрито</v>
      </c>
      <c r="D81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12" s="1" t="str">
        <f>"Земельні питання"</f>
        <v>Земельні питання</v>
      </c>
      <c r="F8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12" s="1" t="str">
        <f>"14"</f>
        <v>14</v>
      </c>
      <c r="H812" s="1" t="str">
        <f>"Результат"</f>
        <v>Результат</v>
      </c>
      <c r="I812" s="1" t="str">
        <f t="shared" si="146"/>
        <v>Позитивний</v>
      </c>
      <c r="J812" s="1" t="str">
        <f>"Ні"</f>
        <v>Ні</v>
      </c>
    </row>
    <row r="813" spans="1:10" ht="90" x14ac:dyDescent="0.25">
      <c r="A813" s="1" t="str">
        <f>"797-2020/27"</f>
        <v>797-2020/27</v>
      </c>
      <c r="B813" s="1" t="str">
        <f t="shared" si="144"/>
        <v>05.02.2020</v>
      </c>
      <c r="C813" s="1" t="str">
        <f t="shared" si="145"/>
        <v>Закрито</v>
      </c>
      <c r="D81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813" s="1" t="str">
        <f>"Інші послуги"</f>
        <v>Інші послуги</v>
      </c>
      <c r="F81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813" s="1" t="str">
        <f>"5"</f>
        <v>5</v>
      </c>
      <c r="H813" s="1" t="str">
        <f>"Результат"</f>
        <v>Результат</v>
      </c>
      <c r="I813" s="1" t="str">
        <f t="shared" si="146"/>
        <v>Позитивний</v>
      </c>
      <c r="J813" s="1" t="str">
        <f>"Ні"</f>
        <v>Ні</v>
      </c>
    </row>
    <row r="814" spans="1:10" ht="90" x14ac:dyDescent="0.25">
      <c r="A814" s="1" t="str">
        <f>"815-2020/27"</f>
        <v>815-2020/27</v>
      </c>
      <c r="B814" s="1" t="str">
        <f t="shared" si="144"/>
        <v>05.02.2020</v>
      </c>
      <c r="C814" s="1" t="str">
        <f t="shared" si="145"/>
        <v>Закрито</v>
      </c>
      <c r="D81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814" s="1" t="str">
        <f>"Інші послуги"</f>
        <v>Інші послуги</v>
      </c>
      <c r="F81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814" s="1" t="str">
        <f>"5"</f>
        <v>5</v>
      </c>
      <c r="H814" s="1" t="str">
        <f>"Результат"</f>
        <v>Результат</v>
      </c>
      <c r="I814" s="1" t="str">
        <f t="shared" si="146"/>
        <v>Позитивний</v>
      </c>
      <c r="J814" s="1" t="str">
        <f>"Ні"</f>
        <v>Ні</v>
      </c>
    </row>
    <row r="815" spans="1:10" ht="45" x14ac:dyDescent="0.25">
      <c r="A815" s="1" t="str">
        <f>"802-2020/27"</f>
        <v>802-2020/27</v>
      </c>
      <c r="B815" s="1" t="str">
        <f t="shared" si="144"/>
        <v>05.02.2020</v>
      </c>
      <c r="C815" s="1" t="str">
        <f t="shared" si="145"/>
        <v>Закрито</v>
      </c>
      <c r="D815" s="1" t="str">
        <f>"Зняття з реєстрації місця проживання"</f>
        <v>Зняття з реєстрації місця проживання</v>
      </c>
      <c r="E815" s="1" t="str">
        <f>"Реєстрація місця проживання"</f>
        <v>Реєстрація місця проживання</v>
      </c>
      <c r="F815" s="1" t="str">
        <f>"Відділ реєстрації Новокаховської міської ради"</f>
        <v>Відділ реєстрації Новокаховської міської ради</v>
      </c>
      <c r="G815" s="1" t="str">
        <f>"1"</f>
        <v>1</v>
      </c>
      <c r="H815" s="1" t="str">
        <f>"Результат"</f>
        <v>Результат</v>
      </c>
      <c r="I815" s="1" t="str">
        <f t="shared" si="146"/>
        <v>Позитивний</v>
      </c>
      <c r="J815" s="1" t="str">
        <f>"Так"</f>
        <v>Так</v>
      </c>
    </row>
    <row r="816" spans="1:10" ht="45" x14ac:dyDescent="0.25">
      <c r="A816" s="1" t="str">
        <f>"809-2020/27"</f>
        <v>809-2020/27</v>
      </c>
      <c r="B816" s="1" t="str">
        <f t="shared" si="144"/>
        <v>05.02.2020</v>
      </c>
      <c r="C816" s="1" t="str">
        <f t="shared" si="145"/>
        <v>Закрито</v>
      </c>
      <c r="D816" s="1" t="str">
        <f>"Реєстрація місця проживання особи"</f>
        <v>Реєстрація місця проживання особи</v>
      </c>
      <c r="E816" s="1" t="str">
        <f>"Реєстрація місця проживання"</f>
        <v>Реєстрація місця проживання</v>
      </c>
      <c r="F816" s="1" t="str">
        <f>"Відділ реєстрації Новокаховської міської ради"</f>
        <v>Відділ реєстрації Новокаховської міської ради</v>
      </c>
      <c r="G816" s="1" t="str">
        <f>"1"</f>
        <v>1</v>
      </c>
      <c r="H816" s="1" t="str">
        <f>"Результат"</f>
        <v>Результат</v>
      </c>
      <c r="I816" s="1" t="str">
        <f t="shared" si="146"/>
        <v>Позитивний</v>
      </c>
      <c r="J816" s="1" t="str">
        <f>"Так"</f>
        <v>Так</v>
      </c>
    </row>
    <row r="817" spans="1:10" ht="135" x14ac:dyDescent="0.25">
      <c r="A817" s="1" t="str">
        <f>"808-2020/27"</f>
        <v>808-2020/27</v>
      </c>
      <c r="B817" s="1" t="str">
        <f t="shared" si="144"/>
        <v>05.02.2020</v>
      </c>
      <c r="C817" s="1" t="str">
        <f t="shared" si="145"/>
        <v>Закрито</v>
      </c>
      <c r="D81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17" s="1" t="str">
        <f>"Земельні питання"</f>
        <v>Земельні питання</v>
      </c>
      <c r="F8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17" s="1" t="str">
        <f>"3"</f>
        <v>3</v>
      </c>
      <c r="H817" s="1" t="str">
        <f>"Результат"</f>
        <v>Результат</v>
      </c>
      <c r="I817" s="1" t="str">
        <f t="shared" si="146"/>
        <v>Позитивний</v>
      </c>
      <c r="J817" s="1" t="str">
        <f>"Ні"</f>
        <v>Ні</v>
      </c>
    </row>
    <row r="818" spans="1:10" ht="45" x14ac:dyDescent="0.25">
      <c r="A818" s="1" t="str">
        <f>"803-2020/27"</f>
        <v>803-2020/27</v>
      </c>
      <c r="B818" s="1" t="str">
        <f t="shared" si="144"/>
        <v>05.02.2020</v>
      </c>
      <c r="C818" s="1" t="str">
        <f t="shared" si="145"/>
        <v>Закрито</v>
      </c>
      <c r="D818" s="1" t="str">
        <f>"Зняття з реєстрації місця проживання"</f>
        <v>Зняття з реєстрації місця проживання</v>
      </c>
      <c r="E818" s="1" t="str">
        <f>"Реєстрація місця проживання"</f>
        <v>Реєстрація місця проживання</v>
      </c>
      <c r="F818" s="1" t="str">
        <f>"Відділ реєстрації Новокаховської міської ради"</f>
        <v>Відділ реєстрації Новокаховської міської ради</v>
      </c>
      <c r="G818" s="1" t="str">
        <f>"1"</f>
        <v>1</v>
      </c>
      <c r="H818" s="1" t="str">
        <f>"Результат"</f>
        <v>Результат</v>
      </c>
      <c r="I818" s="1" t="str">
        <f t="shared" si="146"/>
        <v>Позитивний</v>
      </c>
      <c r="J818" s="1" t="str">
        <f>"Так"</f>
        <v>Так</v>
      </c>
    </row>
    <row r="819" spans="1:10" ht="225" x14ac:dyDescent="0.25">
      <c r="A819" s="1" t="str">
        <f>"822-2020/27"</f>
        <v>822-2020/27</v>
      </c>
      <c r="B819" s="1" t="str">
        <f t="shared" si="144"/>
        <v>05.02.2020</v>
      </c>
      <c r="C819" s="1" t="str">
        <f t="shared" si="145"/>
        <v>Закрито</v>
      </c>
      <c r="D819" s="1" t="s">
        <v>1</v>
      </c>
      <c r="E819" s="1" t="str">
        <f>"Будівництво"</f>
        <v>Будівництво</v>
      </c>
      <c r="F81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819" s="1" t="str">
        <f>"30"</f>
        <v>30</v>
      </c>
      <c r="H819" s="1" t="str">
        <f>"Результат"</f>
        <v>Результат</v>
      </c>
      <c r="I819" s="1" t="str">
        <f t="shared" si="146"/>
        <v>Позитивний</v>
      </c>
      <c r="J819" s="1" t="str">
        <f>"Ні"</f>
        <v>Ні</v>
      </c>
    </row>
    <row r="820" spans="1:10" ht="45" x14ac:dyDescent="0.25">
      <c r="A820" s="1" t="str">
        <f>"798-2020/27"</f>
        <v>798-2020/27</v>
      </c>
      <c r="B820" s="1" t="str">
        <f t="shared" si="144"/>
        <v>05.02.2020</v>
      </c>
      <c r="C820" s="1" t="str">
        <f t="shared" si="145"/>
        <v>Закрито</v>
      </c>
      <c r="D820" s="1" t="str">
        <f>"Реєстрація місця проживання особи"</f>
        <v>Реєстрація місця проживання особи</v>
      </c>
      <c r="E820" s="1" t="str">
        <f>"Реєстрація місця проживання"</f>
        <v>Реєстрація місця проживання</v>
      </c>
      <c r="F820" s="1" t="str">
        <f>"Відділ реєстрації Новокаховської міської ради"</f>
        <v>Відділ реєстрації Новокаховської міської ради</v>
      </c>
      <c r="G820" s="1" t="str">
        <f>"1"</f>
        <v>1</v>
      </c>
      <c r="H820" s="1" t="str">
        <f>"Результат"</f>
        <v>Результат</v>
      </c>
      <c r="I820" s="1" t="str">
        <f t="shared" si="146"/>
        <v>Позитивний</v>
      </c>
      <c r="J820" s="1" t="str">
        <f>"Так"</f>
        <v>Так</v>
      </c>
    </row>
    <row r="821" spans="1:10" ht="45" x14ac:dyDescent="0.25">
      <c r="A821" s="1" t="str">
        <f>"813-2020/27"</f>
        <v>813-2020/27</v>
      </c>
      <c r="B821" s="1" t="str">
        <f t="shared" si="144"/>
        <v>05.02.2020</v>
      </c>
      <c r="C821" s="1" t="str">
        <f t="shared" si="145"/>
        <v>Закрито</v>
      </c>
      <c r="D821" s="1" t="str">
        <f>"Зняття з реєстрації місця проживання"</f>
        <v>Зняття з реєстрації місця проживання</v>
      </c>
      <c r="E821" s="1" t="str">
        <f>"Реєстрація місця проживання"</f>
        <v>Реєстрація місця проживання</v>
      </c>
      <c r="F821" s="1" t="str">
        <f>"Відділ реєстрації Новокаховської міської ради"</f>
        <v>Відділ реєстрації Новокаховської міської ради</v>
      </c>
      <c r="G821" s="1" t="str">
        <f>"1"</f>
        <v>1</v>
      </c>
      <c r="H821" s="1" t="str">
        <f>"Результат"</f>
        <v>Результат</v>
      </c>
      <c r="I821" s="1" t="str">
        <f t="shared" si="146"/>
        <v>Позитивний</v>
      </c>
      <c r="J821" s="1" t="str">
        <f>"Так"</f>
        <v>Так</v>
      </c>
    </row>
    <row r="822" spans="1:10" ht="135" x14ac:dyDescent="0.25">
      <c r="A822" s="1" t="str">
        <f>"795-2020/27"</f>
        <v>795-2020/27</v>
      </c>
      <c r="B822" s="1" t="str">
        <f t="shared" si="144"/>
        <v>05.02.2020</v>
      </c>
      <c r="C822" s="1" t="str">
        <f t="shared" si="145"/>
        <v>Закрито</v>
      </c>
      <c r="D82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22" s="1" t="str">
        <f>"Земельні питання"</f>
        <v>Земельні питання</v>
      </c>
      <c r="F8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22" s="1" t="str">
        <f>"14"</f>
        <v>14</v>
      </c>
      <c r="H822" s="1" t="str">
        <f>"Результат"</f>
        <v>Результат</v>
      </c>
      <c r="I822" s="1" t="str">
        <f t="shared" si="146"/>
        <v>Позитивний</v>
      </c>
      <c r="J822" s="1" t="str">
        <f>"Ні"</f>
        <v>Ні</v>
      </c>
    </row>
    <row r="823" spans="1:10" ht="225" x14ac:dyDescent="0.25">
      <c r="A823" s="1" t="str">
        <f>"820-2020/27"</f>
        <v>820-2020/27</v>
      </c>
      <c r="B823" s="1" t="str">
        <f t="shared" si="144"/>
        <v>05.02.2020</v>
      </c>
      <c r="C823" s="1" t="str">
        <f t="shared" si="145"/>
        <v>Закрито</v>
      </c>
      <c r="D823" s="1" t="s">
        <v>1</v>
      </c>
      <c r="E823" s="1" t="str">
        <f>"Будівництво"</f>
        <v>Будівництво</v>
      </c>
      <c r="F82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823" s="1" t="str">
        <f>"30"</f>
        <v>30</v>
      </c>
      <c r="H823" s="1" t="str">
        <f>"Результат"</f>
        <v>Результат</v>
      </c>
      <c r="I823" s="1" t="str">
        <f t="shared" si="146"/>
        <v>Позитивний</v>
      </c>
      <c r="J823" s="1" t="str">
        <f>"Ні"</f>
        <v>Ні</v>
      </c>
    </row>
    <row r="824" spans="1:10" ht="105" x14ac:dyDescent="0.25">
      <c r="A824" s="1" t="str">
        <f>"810-2020/27"</f>
        <v>810-2020/27</v>
      </c>
      <c r="B824" s="1" t="str">
        <f t="shared" si="144"/>
        <v>05.02.2020</v>
      </c>
      <c r="C824" s="1" t="str">
        <f t="shared" si="145"/>
        <v>Закрито</v>
      </c>
      <c r="D8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24" s="1" t="str">
        <f>"Земельні питання"</f>
        <v>Земельні питання</v>
      </c>
      <c r="F82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824" s="1" t="str">
        <f>"1"</f>
        <v>1</v>
      </c>
      <c r="H824" s="1" t="str">
        <f>"Результат"</f>
        <v>Результат</v>
      </c>
      <c r="I824" s="1" t="str">
        <f t="shared" si="146"/>
        <v>Позитивний</v>
      </c>
      <c r="J824" s="1" t="str">
        <f>"Так"</f>
        <v>Так</v>
      </c>
    </row>
    <row r="825" spans="1:10" ht="45" x14ac:dyDescent="0.25">
      <c r="A825" s="1" t="str">
        <f>"818-2020/27"</f>
        <v>818-2020/27</v>
      </c>
      <c r="B825" s="1" t="str">
        <f t="shared" si="144"/>
        <v>05.02.2020</v>
      </c>
      <c r="C825" s="1" t="str">
        <f t="shared" si="145"/>
        <v>Закрито</v>
      </c>
      <c r="D825" s="1" t="str">
        <f>"Реєстрація місця проживання особи"</f>
        <v>Реєстрація місця проживання особи</v>
      </c>
      <c r="E825" s="1" t="str">
        <f>"Реєстрація місця проживання"</f>
        <v>Реєстрація місця проживання</v>
      </c>
      <c r="F825" s="1" t="str">
        <f>"Відділ реєстрації Новокаховської міської ради"</f>
        <v>Відділ реєстрації Новокаховської міської ради</v>
      </c>
      <c r="G825" s="1" t="str">
        <f>"1"</f>
        <v>1</v>
      </c>
      <c r="H825" s="1" t="str">
        <f>"Результат"</f>
        <v>Результат</v>
      </c>
      <c r="I825" s="1" t="str">
        <f t="shared" si="146"/>
        <v>Позитивний</v>
      </c>
      <c r="J825" s="1" t="str">
        <f>"Так"</f>
        <v>Так</v>
      </c>
    </row>
    <row r="826" spans="1:10" ht="90" x14ac:dyDescent="0.25">
      <c r="A826" s="1" t="str">
        <f>"812-2020/27"</f>
        <v>812-2020/27</v>
      </c>
      <c r="B826" s="1" t="str">
        <f t="shared" si="144"/>
        <v>05.02.2020</v>
      </c>
      <c r="C826" s="1" t="str">
        <f t="shared" si="145"/>
        <v>Закрито</v>
      </c>
      <c r="D82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826" s="1" t="str">
        <f>"Інші послуги"</f>
        <v>Інші послуги</v>
      </c>
      <c r="F82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826" s="1" t="str">
        <f>"5"</f>
        <v>5</v>
      </c>
      <c r="H826" s="1" t="str">
        <f>"Результат"</f>
        <v>Результат</v>
      </c>
      <c r="I826" s="1" t="str">
        <f t="shared" si="146"/>
        <v>Позитивний</v>
      </c>
      <c r="J826" s="1" t="str">
        <f>"Ні"</f>
        <v>Ні</v>
      </c>
    </row>
    <row r="827" spans="1:10" ht="45" x14ac:dyDescent="0.25">
      <c r="A827" s="1" t="str">
        <f>"800-2020/27"</f>
        <v>800-2020/27</v>
      </c>
      <c r="B827" s="1" t="str">
        <f t="shared" si="144"/>
        <v>05.02.2020</v>
      </c>
      <c r="C827" s="1" t="str">
        <f t="shared" si="145"/>
        <v>Закрито</v>
      </c>
      <c r="D827" s="1" t="str">
        <f>"Зняття з реєстрації місця проживання"</f>
        <v>Зняття з реєстрації місця проживання</v>
      </c>
      <c r="E827" s="1" t="str">
        <f>"Реєстрація місця проживання"</f>
        <v>Реєстрація місця проживання</v>
      </c>
      <c r="F827" s="1" t="str">
        <f>"Відділ реєстрації Новокаховської міської ради"</f>
        <v>Відділ реєстрації Новокаховської міської ради</v>
      </c>
      <c r="G827" s="1" t="str">
        <f>"1"</f>
        <v>1</v>
      </c>
      <c r="H827" s="1" t="str">
        <f>"Результат"</f>
        <v>Результат</v>
      </c>
      <c r="I827" s="1" t="str">
        <f t="shared" si="146"/>
        <v>Позитивний</v>
      </c>
      <c r="J827" s="1" t="str">
        <f>"Так"</f>
        <v>Так</v>
      </c>
    </row>
    <row r="828" spans="1:10" ht="45" x14ac:dyDescent="0.25">
      <c r="A828" s="1" t="str">
        <f>"831-2020/27"</f>
        <v>831-2020/27</v>
      </c>
      <c r="B828" s="1" t="str">
        <f t="shared" ref="B828:B842" si="147">"06.02.2020"</f>
        <v>06.02.2020</v>
      </c>
      <c r="C828" s="1" t="str">
        <f t="shared" si="145"/>
        <v>Закрито</v>
      </c>
      <c r="D828" s="1" t="str">
        <f>"Реєстрація місця проживання особи"</f>
        <v>Реєстрація місця проживання особи</v>
      </c>
      <c r="E828" s="1" t="str">
        <f>"Реєстрація місця проживання"</f>
        <v>Реєстрація місця проживання</v>
      </c>
      <c r="F828" s="1" t="str">
        <f>"Відділ реєстрації Новокаховської міської ради"</f>
        <v>Відділ реєстрації Новокаховської міської ради</v>
      </c>
      <c r="G828" s="1" t="str">
        <f>"1"</f>
        <v>1</v>
      </c>
      <c r="H828" s="1" t="str">
        <f>"Результат"</f>
        <v>Результат</v>
      </c>
      <c r="I828" s="1" t="str">
        <f t="shared" si="146"/>
        <v>Позитивний</v>
      </c>
      <c r="J828" s="1" t="str">
        <f>"Так"</f>
        <v>Так</v>
      </c>
    </row>
    <row r="829" spans="1:10" ht="135" x14ac:dyDescent="0.25">
      <c r="A829" s="1" t="str">
        <f>"828-2020/27"</f>
        <v>828-2020/27</v>
      </c>
      <c r="B829" s="1" t="str">
        <f t="shared" si="147"/>
        <v>06.02.2020</v>
      </c>
      <c r="C829" s="1" t="str">
        <f t="shared" si="145"/>
        <v>Закрито</v>
      </c>
      <c r="D82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29" s="1" t="str">
        <f>"Земельні питання"</f>
        <v>Земельні питання</v>
      </c>
      <c r="F8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29" s="1" t="str">
        <f>"3"</f>
        <v>3</v>
      </c>
      <c r="H829" s="1" t="str">
        <f>"Результат"</f>
        <v>Результат</v>
      </c>
      <c r="I829" s="1" t="str">
        <f t="shared" si="146"/>
        <v>Позитивний</v>
      </c>
      <c r="J829" s="1" t="str">
        <f>"Ні"</f>
        <v>Ні</v>
      </c>
    </row>
    <row r="830" spans="1:10" ht="45" x14ac:dyDescent="0.25">
      <c r="A830" s="1" t="str">
        <f>"837-2020/27"</f>
        <v>837-2020/27</v>
      </c>
      <c r="B830" s="1" t="str">
        <f t="shared" si="147"/>
        <v>06.02.2020</v>
      </c>
      <c r="C830" s="1" t="str">
        <f t="shared" si="145"/>
        <v>Закрито</v>
      </c>
      <c r="D830" s="1" t="str">
        <f>"Реєстрація місця проживання особи"</f>
        <v>Реєстрація місця проживання особи</v>
      </c>
      <c r="E830" s="1" t="str">
        <f>"Реєстрація місця проживання"</f>
        <v>Реєстрація місця проживання</v>
      </c>
      <c r="F830" s="1" t="str">
        <f>"Відділ реєстрації Новокаховської міської ради"</f>
        <v>Відділ реєстрації Новокаховської міської ради</v>
      </c>
      <c r="G830" s="1" t="str">
        <f>"1"</f>
        <v>1</v>
      </c>
      <c r="H830" s="1" t="str">
        <f>"Результат"</f>
        <v>Результат</v>
      </c>
      <c r="I830" s="1" t="str">
        <f t="shared" si="146"/>
        <v>Позитивний</v>
      </c>
      <c r="J830" s="1" t="str">
        <f>"Так"</f>
        <v>Так</v>
      </c>
    </row>
    <row r="831" spans="1:10" ht="45" x14ac:dyDescent="0.25">
      <c r="A831" s="1" t="str">
        <f>"832-2020/27"</f>
        <v>832-2020/27</v>
      </c>
      <c r="B831" s="1" t="str">
        <f t="shared" si="147"/>
        <v>06.02.2020</v>
      </c>
      <c r="C831" s="1" t="str">
        <f t="shared" si="145"/>
        <v>Закрито</v>
      </c>
      <c r="D831" s="1" t="str">
        <f>"Реєстрація місця проживання особи"</f>
        <v>Реєстрація місця проживання особи</v>
      </c>
      <c r="E831" s="1" t="str">
        <f>"Реєстрація місця проживання"</f>
        <v>Реєстрація місця проживання</v>
      </c>
      <c r="F831" s="1" t="str">
        <f>"Відділ реєстрації Новокаховської міської ради"</f>
        <v>Відділ реєстрації Новокаховської міської ради</v>
      </c>
      <c r="G831" s="1" t="str">
        <f>"1"</f>
        <v>1</v>
      </c>
      <c r="H831" s="1" t="str">
        <f>"Результат"</f>
        <v>Результат</v>
      </c>
      <c r="I831" s="1" t="str">
        <f t="shared" si="146"/>
        <v>Позитивний</v>
      </c>
      <c r="J831" s="1" t="str">
        <f>"Так"</f>
        <v>Так</v>
      </c>
    </row>
    <row r="832" spans="1:10" ht="135" x14ac:dyDescent="0.25">
      <c r="A832" s="1" t="str">
        <f>"825-2020/27"</f>
        <v>825-2020/27</v>
      </c>
      <c r="B832" s="1" t="str">
        <f t="shared" si="147"/>
        <v>06.02.2020</v>
      </c>
      <c r="C832" s="1" t="str">
        <f t="shared" si="145"/>
        <v>Закрито</v>
      </c>
      <c r="D83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32" s="1" t="str">
        <f>"Земельні питання"</f>
        <v>Земельні питання</v>
      </c>
      <c r="F8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32" s="1" t="str">
        <f>"14"</f>
        <v>14</v>
      </c>
      <c r="H832" s="1" t="str">
        <f>"Результат"</f>
        <v>Результат</v>
      </c>
      <c r="I832" s="1" t="str">
        <f t="shared" si="146"/>
        <v>Позитивний</v>
      </c>
      <c r="J832" s="1" t="str">
        <f>"Ні"</f>
        <v>Ні</v>
      </c>
    </row>
    <row r="833" spans="1:10" ht="45" x14ac:dyDescent="0.25">
      <c r="A833" s="1" t="str">
        <f>"833-2020/27"</f>
        <v>833-2020/27</v>
      </c>
      <c r="B833" s="1" t="str">
        <f t="shared" si="147"/>
        <v>06.02.2020</v>
      </c>
      <c r="C833" s="1" t="str">
        <f t="shared" si="145"/>
        <v>Закрито</v>
      </c>
      <c r="D833" s="1" t="str">
        <f>"Реєстрація місця проживання особи"</f>
        <v>Реєстрація місця проживання особи</v>
      </c>
      <c r="E833" s="1" t="str">
        <f>"Реєстрація місця проживання"</f>
        <v>Реєстрація місця проживання</v>
      </c>
      <c r="F833" s="1" t="str">
        <f>"Відділ реєстрації Новокаховської міської ради"</f>
        <v>Відділ реєстрації Новокаховської міської ради</v>
      </c>
      <c r="G833" s="1" t="str">
        <f>"1"</f>
        <v>1</v>
      </c>
      <c r="H833" s="1" t="str">
        <f>"Результат"</f>
        <v>Результат</v>
      </c>
      <c r="I833" s="1" t="str">
        <f t="shared" si="146"/>
        <v>Позитивний</v>
      </c>
      <c r="J833" s="1" t="str">
        <f>"Так"</f>
        <v>Так</v>
      </c>
    </row>
    <row r="834" spans="1:10" ht="45" x14ac:dyDescent="0.25">
      <c r="A834" s="1" t="str">
        <f>"829-2020/27"</f>
        <v>829-2020/27</v>
      </c>
      <c r="B834" s="1" t="str">
        <f t="shared" si="147"/>
        <v>06.02.2020</v>
      </c>
      <c r="C834" s="1" t="str">
        <f t="shared" si="145"/>
        <v>Закрито</v>
      </c>
      <c r="D834" s="1" t="str">
        <f>"Реєстрація місця проживання особи"</f>
        <v>Реєстрація місця проживання особи</v>
      </c>
      <c r="E834" s="1" t="str">
        <f>"Реєстрація місця проживання"</f>
        <v>Реєстрація місця проживання</v>
      </c>
      <c r="F834" s="1" t="str">
        <f>"Відділ реєстрації Новокаховської міської ради"</f>
        <v>Відділ реєстрації Новокаховської міської ради</v>
      </c>
      <c r="G834" s="1" t="str">
        <f>"1"</f>
        <v>1</v>
      </c>
      <c r="H834" s="1" t="str">
        <f>"Результат"</f>
        <v>Результат</v>
      </c>
      <c r="I834" s="1" t="str">
        <f t="shared" si="146"/>
        <v>Позитивний</v>
      </c>
      <c r="J834" s="1" t="str">
        <f>"Так"</f>
        <v>Так</v>
      </c>
    </row>
    <row r="835" spans="1:10" ht="135" x14ac:dyDescent="0.25">
      <c r="A835" s="1" t="str">
        <f>"835-2020/27"</f>
        <v>835-2020/27</v>
      </c>
      <c r="B835" s="1" t="str">
        <f t="shared" si="147"/>
        <v>06.02.2020</v>
      </c>
      <c r="C835" s="1" t="str">
        <f t="shared" si="145"/>
        <v>Закрито</v>
      </c>
      <c r="D83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35" s="1" t="str">
        <f>"Державна реєстрація громадських об’єднань"</f>
        <v>Державна реєстрація громадських об’єднань</v>
      </c>
      <c r="F8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35" s="1" t="str">
        <f>"1"</f>
        <v>1</v>
      </c>
      <c r="H835" s="1" t="str">
        <f>"Результат"</f>
        <v>Результат</v>
      </c>
      <c r="I835" s="1" t="str">
        <f t="shared" si="146"/>
        <v>Позитивний</v>
      </c>
      <c r="J835" s="1" t="str">
        <f>"Так"</f>
        <v>Так</v>
      </c>
    </row>
    <row r="836" spans="1:10" ht="135" x14ac:dyDescent="0.25">
      <c r="A836" s="1" t="str">
        <f>"824-2020/27"</f>
        <v>824-2020/27</v>
      </c>
      <c r="B836" s="1" t="str">
        <f t="shared" si="147"/>
        <v>06.02.2020</v>
      </c>
      <c r="C836" s="1" t="str">
        <f t="shared" si="145"/>
        <v>Закрито</v>
      </c>
      <c r="D83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36" s="1" t="str">
        <f>"Земельні питання"</f>
        <v>Земельні питання</v>
      </c>
      <c r="F8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36" s="1" t="str">
        <f>"14"</f>
        <v>14</v>
      </c>
      <c r="H836" s="1" t="str">
        <f>"Результат"</f>
        <v>Результат</v>
      </c>
      <c r="I836" s="1" t="str">
        <f t="shared" ref="I836:I867" si="148">"Позитивний"</f>
        <v>Позитивний</v>
      </c>
      <c r="J836" s="1" t="str">
        <f>"Ні"</f>
        <v>Ні</v>
      </c>
    </row>
    <row r="837" spans="1:10" ht="45" x14ac:dyDescent="0.25">
      <c r="A837" s="1" t="str">
        <f>"834-2020/27"</f>
        <v>834-2020/27</v>
      </c>
      <c r="B837" s="1" t="str">
        <f t="shared" si="147"/>
        <v>06.02.2020</v>
      </c>
      <c r="C837" s="1" t="str">
        <f t="shared" si="145"/>
        <v>Закрито</v>
      </c>
      <c r="D837" s="1" t="str">
        <f>"Реєстрація місця проживання особи"</f>
        <v>Реєстрація місця проживання особи</v>
      </c>
      <c r="E837" s="1" t="str">
        <f>"Реєстрація місця проживання"</f>
        <v>Реєстрація місця проживання</v>
      </c>
      <c r="F837" s="1" t="str">
        <f>"Відділ реєстрації Новокаховської міської ради"</f>
        <v>Відділ реєстрації Новокаховської міської ради</v>
      </c>
      <c r="G837" s="1" t="str">
        <f>"1"</f>
        <v>1</v>
      </c>
      <c r="H837" s="1" t="str">
        <f>"Результат"</f>
        <v>Результат</v>
      </c>
      <c r="I837" s="1" t="str">
        <f t="shared" si="148"/>
        <v>Позитивний</v>
      </c>
      <c r="J837" s="1" t="str">
        <f>"Так"</f>
        <v>Так</v>
      </c>
    </row>
    <row r="838" spans="1:10" ht="45" x14ac:dyDescent="0.25">
      <c r="A838" s="1" t="str">
        <f>"823-2020/27"</f>
        <v>823-2020/27</v>
      </c>
      <c r="B838" s="1" t="str">
        <f t="shared" si="147"/>
        <v>06.02.2020</v>
      </c>
      <c r="C838" s="1" t="str">
        <f t="shared" si="145"/>
        <v>Закрито</v>
      </c>
      <c r="D838" s="1" t="str">
        <f>"Реєстрація місця проживання особи"</f>
        <v>Реєстрація місця проживання особи</v>
      </c>
      <c r="E838" s="1" t="str">
        <f>"Реєстрація місця проживання"</f>
        <v>Реєстрація місця проживання</v>
      </c>
      <c r="F838" s="1" t="str">
        <f>"Відділ реєстрації Новокаховської міської ради"</f>
        <v>Відділ реєстрації Новокаховської міської ради</v>
      </c>
      <c r="G838" s="1" t="str">
        <f>"1"</f>
        <v>1</v>
      </c>
      <c r="H838" s="1" t="str">
        <f>"Результат"</f>
        <v>Результат</v>
      </c>
      <c r="I838" s="1" t="str">
        <f t="shared" si="148"/>
        <v>Позитивний</v>
      </c>
      <c r="J838" s="1" t="str">
        <f>"Так"</f>
        <v>Так</v>
      </c>
    </row>
    <row r="839" spans="1:10" ht="45" x14ac:dyDescent="0.25">
      <c r="A839" s="1" t="str">
        <f>"830-2020/27"</f>
        <v>830-2020/27</v>
      </c>
      <c r="B839" s="1" t="str">
        <f t="shared" si="147"/>
        <v>06.02.2020</v>
      </c>
      <c r="C839" s="1" t="str">
        <f t="shared" si="145"/>
        <v>Закрито</v>
      </c>
      <c r="D839" s="1" t="str">
        <f>"Реєстрація місця проживання особи"</f>
        <v>Реєстрація місця проживання особи</v>
      </c>
      <c r="E839" s="1" t="str">
        <f>"Реєстрація місця проживання"</f>
        <v>Реєстрація місця проживання</v>
      </c>
      <c r="F839" s="1" t="str">
        <f>"Відділ реєстрації Новокаховської міської ради"</f>
        <v>Відділ реєстрації Новокаховської міської ради</v>
      </c>
      <c r="G839" s="1" t="str">
        <f>"1"</f>
        <v>1</v>
      </c>
      <c r="H839" s="1" t="str">
        <f>"Результат"</f>
        <v>Результат</v>
      </c>
      <c r="I839" s="1" t="str">
        <f t="shared" si="148"/>
        <v>Позитивний</v>
      </c>
      <c r="J839" s="1" t="str">
        <f>"Так"</f>
        <v>Так</v>
      </c>
    </row>
    <row r="840" spans="1:10" ht="45" x14ac:dyDescent="0.25">
      <c r="A840" s="1" t="str">
        <f>"827-2020/27"</f>
        <v>827-2020/27</v>
      </c>
      <c r="B840" s="1" t="str">
        <f t="shared" si="147"/>
        <v>06.02.2020</v>
      </c>
      <c r="C840" s="1" t="str">
        <f t="shared" si="145"/>
        <v>Закрито</v>
      </c>
      <c r="D840" s="1" t="str">
        <f>"Реєстрація місця проживання особи"</f>
        <v>Реєстрація місця проживання особи</v>
      </c>
      <c r="E840" s="1" t="str">
        <f>"Реєстрація місця проживання"</f>
        <v>Реєстрація місця проживання</v>
      </c>
      <c r="F840" s="1" t="str">
        <f>"Відділ реєстрації Новокаховської міської ради"</f>
        <v>Відділ реєстрації Новокаховської міської ради</v>
      </c>
      <c r="G840" s="1" t="str">
        <f>"1"</f>
        <v>1</v>
      </c>
      <c r="H840" s="1" t="str">
        <f>"Результат"</f>
        <v>Результат</v>
      </c>
      <c r="I840" s="1" t="str">
        <f t="shared" si="148"/>
        <v>Позитивний</v>
      </c>
      <c r="J840" s="1" t="str">
        <f>"Так"</f>
        <v>Так</v>
      </c>
    </row>
    <row r="841" spans="1:10" ht="45" x14ac:dyDescent="0.25">
      <c r="A841" s="1" t="str">
        <f>"826-2020/27"</f>
        <v>826-2020/27</v>
      </c>
      <c r="B841" s="1" t="str">
        <f t="shared" si="147"/>
        <v>06.02.2020</v>
      </c>
      <c r="C841" s="1" t="str">
        <f t="shared" si="145"/>
        <v>Закрито</v>
      </c>
      <c r="D841" s="1" t="str">
        <f>"Реєстрація місця проживання особи"</f>
        <v>Реєстрація місця проживання особи</v>
      </c>
      <c r="E841" s="1" t="str">
        <f>"Реєстрація місця проживання"</f>
        <v>Реєстрація місця проживання</v>
      </c>
      <c r="F841" s="1" t="str">
        <f>"Відділ реєстрації Новокаховської міської ради"</f>
        <v>Відділ реєстрації Новокаховської міської ради</v>
      </c>
      <c r="G841" s="1" t="str">
        <f>"1"</f>
        <v>1</v>
      </c>
      <c r="H841" s="1" t="str">
        <f>"Результат"</f>
        <v>Результат</v>
      </c>
      <c r="I841" s="1" t="str">
        <f t="shared" si="148"/>
        <v>Позитивний</v>
      </c>
      <c r="J841" s="1" t="str">
        <f>"Так"</f>
        <v>Так</v>
      </c>
    </row>
    <row r="842" spans="1:10" ht="135" x14ac:dyDescent="0.25">
      <c r="A842" s="1" t="str">
        <f>"836-2020/27"</f>
        <v>836-2020/27</v>
      </c>
      <c r="B842" s="1" t="str">
        <f t="shared" si="147"/>
        <v>06.02.2020</v>
      </c>
      <c r="C842" s="1" t="str">
        <f t="shared" si="145"/>
        <v>Закрито</v>
      </c>
      <c r="D84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42" s="1" t="str">
        <f>"Земельні питання"</f>
        <v>Земельні питання</v>
      </c>
      <c r="F8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42" s="1" t="str">
        <f>"14"</f>
        <v>14</v>
      </c>
      <c r="H842" s="1" t="str">
        <f>"Результат"</f>
        <v>Результат</v>
      </c>
      <c r="I842" s="1" t="str">
        <f t="shared" si="148"/>
        <v>Позитивний</v>
      </c>
      <c r="J842" s="1" t="str">
        <f>"Ні"</f>
        <v>Ні</v>
      </c>
    </row>
    <row r="843" spans="1:10" ht="135" x14ac:dyDescent="0.25">
      <c r="A843" s="1" t="str">
        <f>"887-2020/27"</f>
        <v>887-2020/27</v>
      </c>
      <c r="B843" s="1" t="str">
        <f t="shared" ref="B843:B862" si="149">"07.02.2020"</f>
        <v>07.02.2020</v>
      </c>
      <c r="C843" s="1" t="str">
        <f t="shared" si="145"/>
        <v>Закрито</v>
      </c>
      <c r="D84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43" s="1" t="str">
        <f>"Земельні питання"</f>
        <v>Земельні питання</v>
      </c>
      <c r="F8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43" s="1" t="str">
        <f>"3"</f>
        <v>3</v>
      </c>
      <c r="H843" s="1" t="str">
        <f>"Результат"</f>
        <v>Результат</v>
      </c>
      <c r="I843" s="1" t="str">
        <f t="shared" si="148"/>
        <v>Позитивний</v>
      </c>
      <c r="J843" s="1" t="str">
        <f>"Ні"</f>
        <v>Ні</v>
      </c>
    </row>
    <row r="844" spans="1:10" ht="135" x14ac:dyDescent="0.25">
      <c r="A844" s="1" t="str">
        <f>"845-2020/27"</f>
        <v>845-2020/27</v>
      </c>
      <c r="B844" s="1" t="str">
        <f t="shared" si="149"/>
        <v>07.02.2020</v>
      </c>
      <c r="C844" s="1" t="str">
        <f t="shared" si="145"/>
        <v>Закрито</v>
      </c>
      <c r="D84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44" s="1" t="str">
        <f>"Земельні питання"</f>
        <v>Земельні питання</v>
      </c>
      <c r="F8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44" s="1" t="str">
        <f>"3"</f>
        <v>3</v>
      </c>
      <c r="H844" s="1" t="str">
        <f>"Результат"</f>
        <v>Результат</v>
      </c>
      <c r="I844" s="1" t="str">
        <f t="shared" si="148"/>
        <v>Позитивний</v>
      </c>
      <c r="J844" s="1" t="str">
        <f>"Ні"</f>
        <v>Ні</v>
      </c>
    </row>
    <row r="845" spans="1:10" ht="105" x14ac:dyDescent="0.25">
      <c r="A845" s="1" t="str">
        <f>"883-2020/27"</f>
        <v>883-2020/27</v>
      </c>
      <c r="B845" s="1" t="str">
        <f t="shared" si="149"/>
        <v>07.02.2020</v>
      </c>
      <c r="C845" s="1" t="str">
        <f t="shared" si="145"/>
        <v>Закрито</v>
      </c>
      <c r="D84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45" s="1" t="str">
        <f>"Земельні питання"</f>
        <v>Земельні питання</v>
      </c>
      <c r="F84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845" s="1" t="str">
        <f t="shared" ref="G845:G850" si="150">"1"</f>
        <v>1</v>
      </c>
      <c r="H845" s="1" t="str">
        <f>"Результат"</f>
        <v>Результат</v>
      </c>
      <c r="I845" s="1" t="str">
        <f t="shared" si="148"/>
        <v>Позитивний</v>
      </c>
      <c r="J845" s="1" t="str">
        <f t="shared" ref="J845:J850" si="151">"Так"</f>
        <v>Так</v>
      </c>
    </row>
    <row r="846" spans="1:10" ht="45" x14ac:dyDescent="0.25">
      <c r="A846" s="1" t="str">
        <f>"849-2020/27"</f>
        <v>849-2020/27</v>
      </c>
      <c r="B846" s="1" t="str">
        <f t="shared" si="149"/>
        <v>07.02.2020</v>
      </c>
      <c r="C846" s="1" t="str">
        <f t="shared" si="145"/>
        <v>Закрито</v>
      </c>
      <c r="D846" s="1" t="str">
        <f>"Реєстрація місця проживання особи"</f>
        <v>Реєстрація місця проживання особи</v>
      </c>
      <c r="E846" s="1" t="str">
        <f>"Реєстрація місця проживання"</f>
        <v>Реєстрація місця проживання</v>
      </c>
      <c r="F846" s="1" t="str">
        <f>"Відділ реєстрації Новокаховської міської ради"</f>
        <v>Відділ реєстрації Новокаховської міської ради</v>
      </c>
      <c r="G846" s="1" t="str">
        <f t="shared" si="150"/>
        <v>1</v>
      </c>
      <c r="H846" s="1" t="str">
        <f>"Результат"</f>
        <v>Результат</v>
      </c>
      <c r="I846" s="1" t="str">
        <f t="shared" si="148"/>
        <v>Позитивний</v>
      </c>
      <c r="J846" s="1" t="str">
        <f t="shared" si="151"/>
        <v>Так</v>
      </c>
    </row>
    <row r="847" spans="1:10" ht="45" x14ac:dyDescent="0.25">
      <c r="A847" s="1" t="str">
        <f>"888-2020/27"</f>
        <v>888-2020/27</v>
      </c>
      <c r="B847" s="1" t="str">
        <f t="shared" si="149"/>
        <v>07.02.2020</v>
      </c>
      <c r="C847" s="1" t="str">
        <f t="shared" si="145"/>
        <v>Закрито</v>
      </c>
      <c r="D847" s="1" t="str">
        <f>"Реєстрація місця проживання особи"</f>
        <v>Реєстрація місця проживання особи</v>
      </c>
      <c r="E847" s="1" t="str">
        <f>"Реєстрація місця проживання"</f>
        <v>Реєстрація місця проживання</v>
      </c>
      <c r="F847" s="1" t="str">
        <f>"Відділ реєстрації Новокаховської міської ради"</f>
        <v>Відділ реєстрації Новокаховської міської ради</v>
      </c>
      <c r="G847" s="1" t="str">
        <f t="shared" si="150"/>
        <v>1</v>
      </c>
      <c r="H847" s="1" t="str">
        <f>"Результат"</f>
        <v>Результат</v>
      </c>
      <c r="I847" s="1" t="str">
        <f t="shared" si="148"/>
        <v>Позитивний</v>
      </c>
      <c r="J847" s="1" t="str">
        <f t="shared" si="151"/>
        <v>Так</v>
      </c>
    </row>
    <row r="848" spans="1:10" ht="45" x14ac:dyDescent="0.25">
      <c r="A848" s="1" t="str">
        <f>"843-2020/27"</f>
        <v>843-2020/27</v>
      </c>
      <c r="B848" s="1" t="str">
        <f t="shared" si="149"/>
        <v>07.02.2020</v>
      </c>
      <c r="C848" s="1" t="str">
        <f t="shared" si="145"/>
        <v>Закрито</v>
      </c>
      <c r="D848" s="1" t="str">
        <f>"Реєстрація місця проживання особи"</f>
        <v>Реєстрація місця проживання особи</v>
      </c>
      <c r="E848" s="1" t="str">
        <f>"Реєстрація місця проживання"</f>
        <v>Реєстрація місця проживання</v>
      </c>
      <c r="F848" s="1" t="str">
        <f>"Відділ реєстрації Новокаховської міської ради"</f>
        <v>Відділ реєстрації Новокаховської міської ради</v>
      </c>
      <c r="G848" s="1" t="str">
        <f t="shared" si="150"/>
        <v>1</v>
      </c>
      <c r="H848" s="1" t="str">
        <f>"Результат"</f>
        <v>Результат</v>
      </c>
      <c r="I848" s="1" t="str">
        <f t="shared" si="148"/>
        <v>Позитивний</v>
      </c>
      <c r="J848" s="1" t="str">
        <f t="shared" si="151"/>
        <v>Так</v>
      </c>
    </row>
    <row r="849" spans="1:10" ht="135" x14ac:dyDescent="0.25">
      <c r="A849" s="1" t="str">
        <f>"886-2020/27"</f>
        <v>886-2020/27</v>
      </c>
      <c r="B849" s="1" t="str">
        <f t="shared" si="149"/>
        <v>07.02.2020</v>
      </c>
      <c r="C849" s="1" t="str">
        <f t="shared" si="145"/>
        <v>Закрито</v>
      </c>
      <c r="D8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49" s="1" t="str">
        <f>"Земельні питання"</f>
        <v>Земельні питання</v>
      </c>
      <c r="F8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49" s="1" t="str">
        <f t="shared" si="150"/>
        <v>1</v>
      </c>
      <c r="H849" s="1" t="str">
        <f>"Результат"</f>
        <v>Результат</v>
      </c>
      <c r="I849" s="1" t="str">
        <f t="shared" si="148"/>
        <v>Позитивний</v>
      </c>
      <c r="J849" s="1" t="str">
        <f t="shared" si="151"/>
        <v>Так</v>
      </c>
    </row>
    <row r="850" spans="1:10" ht="45" x14ac:dyDescent="0.25">
      <c r="A850" s="1" t="str">
        <f>"848-2020/27"</f>
        <v>848-2020/27</v>
      </c>
      <c r="B850" s="1" t="str">
        <f t="shared" si="149"/>
        <v>07.02.2020</v>
      </c>
      <c r="C850" s="1" t="str">
        <f t="shared" si="145"/>
        <v>Закрито</v>
      </c>
      <c r="D850" s="1" t="str">
        <f>"Зняття з реєстрації місця проживання"</f>
        <v>Зняття з реєстрації місця проживання</v>
      </c>
      <c r="E850" s="1" t="str">
        <f>"Реєстрація місця проживання"</f>
        <v>Реєстрація місця проживання</v>
      </c>
      <c r="F850" s="1" t="str">
        <f>"Відділ реєстрації Новокаховської міської ради"</f>
        <v>Відділ реєстрації Новокаховської міської ради</v>
      </c>
      <c r="G850" s="1" t="str">
        <f t="shared" si="150"/>
        <v>1</v>
      </c>
      <c r="H850" s="1" t="str">
        <f>"Результат"</f>
        <v>Результат</v>
      </c>
      <c r="I850" s="1" t="str">
        <f t="shared" si="148"/>
        <v>Позитивний</v>
      </c>
      <c r="J850" s="1" t="str">
        <f t="shared" si="151"/>
        <v>Так</v>
      </c>
    </row>
    <row r="851" spans="1:10" ht="90" x14ac:dyDescent="0.25">
      <c r="A851" s="1" t="str">
        <f>"842-2020/27"</f>
        <v>842-2020/27</v>
      </c>
      <c r="B851" s="1" t="str">
        <f t="shared" si="149"/>
        <v>07.02.2020</v>
      </c>
      <c r="C851" s="1" t="str">
        <f t="shared" si="145"/>
        <v>Закрито</v>
      </c>
      <c r="D85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851" s="1" t="str">
        <f>"Інші послуги"</f>
        <v>Інші послуги</v>
      </c>
      <c r="F85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851" s="1" t="str">
        <f>"5"</f>
        <v>5</v>
      </c>
      <c r="H851" s="1" t="str">
        <f>"Результат"</f>
        <v>Результат</v>
      </c>
      <c r="I851" s="1" t="str">
        <f t="shared" si="148"/>
        <v>Позитивний</v>
      </c>
      <c r="J851" s="1" t="str">
        <f>"Ні"</f>
        <v>Ні</v>
      </c>
    </row>
    <row r="852" spans="1:10" ht="45" x14ac:dyDescent="0.25">
      <c r="A852" s="1" t="str">
        <f>"882-2020/27"</f>
        <v>882-2020/27</v>
      </c>
      <c r="B852" s="1" t="str">
        <f t="shared" si="149"/>
        <v>07.02.2020</v>
      </c>
      <c r="C852" s="1" t="str">
        <f t="shared" si="145"/>
        <v>Закрито</v>
      </c>
      <c r="D852" s="1" t="str">
        <f>"Реєстрація місця проживання особи"</f>
        <v>Реєстрація місця проживання особи</v>
      </c>
      <c r="E852" s="1" t="str">
        <f>"Реєстрація місця проживання"</f>
        <v>Реєстрація місця проживання</v>
      </c>
      <c r="F852" s="1" t="str">
        <f>"Відділ реєстрації Новокаховської міської ради"</f>
        <v>Відділ реєстрації Новокаховської міської ради</v>
      </c>
      <c r="G852" s="1" t="str">
        <f>"1"</f>
        <v>1</v>
      </c>
      <c r="H852" s="1" t="str">
        <f>"Результат"</f>
        <v>Результат</v>
      </c>
      <c r="I852" s="1" t="str">
        <f t="shared" si="148"/>
        <v>Позитивний</v>
      </c>
      <c r="J852" s="1" t="str">
        <f>"Так"</f>
        <v>Так</v>
      </c>
    </row>
    <row r="853" spans="1:10" ht="45" x14ac:dyDescent="0.25">
      <c r="A853" s="1" t="str">
        <f>"841-2020/27"</f>
        <v>841-2020/27</v>
      </c>
      <c r="B853" s="1" t="str">
        <f t="shared" si="149"/>
        <v>07.02.2020</v>
      </c>
      <c r="C853" s="1" t="str">
        <f t="shared" si="145"/>
        <v>Закрито</v>
      </c>
      <c r="D853" s="1" t="str">
        <f>"Реєстрація місця проживання особи"</f>
        <v>Реєстрація місця проживання особи</v>
      </c>
      <c r="E853" s="1" t="str">
        <f>"Реєстрація місця проживання"</f>
        <v>Реєстрація місця проживання</v>
      </c>
      <c r="F853" s="1" t="str">
        <f>"Відділ реєстрації Новокаховської міської ради"</f>
        <v>Відділ реєстрації Новокаховської міської ради</v>
      </c>
      <c r="G853" s="1" t="str">
        <f>"1"</f>
        <v>1</v>
      </c>
      <c r="H853" s="1" t="str">
        <f>"Результат"</f>
        <v>Результат</v>
      </c>
      <c r="I853" s="1" t="str">
        <f t="shared" si="148"/>
        <v>Позитивний</v>
      </c>
      <c r="J853" s="1" t="str">
        <f>"Так"</f>
        <v>Так</v>
      </c>
    </row>
    <row r="854" spans="1:10" ht="45" x14ac:dyDescent="0.25">
      <c r="A854" s="1" t="str">
        <f>"839-2020/27"</f>
        <v>839-2020/27</v>
      </c>
      <c r="B854" s="1" t="str">
        <f t="shared" si="149"/>
        <v>07.02.2020</v>
      </c>
      <c r="C854" s="1" t="str">
        <f t="shared" si="145"/>
        <v>Закрито</v>
      </c>
      <c r="D854" s="1" t="str">
        <f>"Зняття з реєстрації місця проживання"</f>
        <v>Зняття з реєстрації місця проживання</v>
      </c>
      <c r="E854" s="1" t="str">
        <f>"Реєстрація місця проживання"</f>
        <v>Реєстрація місця проживання</v>
      </c>
      <c r="F854" s="1" t="str">
        <f>"Відділ реєстрації Новокаховської міської ради"</f>
        <v>Відділ реєстрації Новокаховської міської ради</v>
      </c>
      <c r="G854" s="1" t="str">
        <f>"1"</f>
        <v>1</v>
      </c>
      <c r="H854" s="1" t="str">
        <f>"Результат"</f>
        <v>Результат</v>
      </c>
      <c r="I854" s="1" t="str">
        <f t="shared" si="148"/>
        <v>Позитивний</v>
      </c>
      <c r="J854" s="1" t="str">
        <f>"Так"</f>
        <v>Так</v>
      </c>
    </row>
    <row r="855" spans="1:10" ht="45" x14ac:dyDescent="0.25">
      <c r="A855" s="1" t="str">
        <f>"838-2020/27"</f>
        <v>838-2020/27</v>
      </c>
      <c r="B855" s="1" t="str">
        <f t="shared" si="149"/>
        <v>07.02.2020</v>
      </c>
      <c r="C855" s="1" t="str">
        <f t="shared" si="145"/>
        <v>Закрито</v>
      </c>
      <c r="D855" s="1" t="str">
        <f>"Реєстрація місця проживання особи"</f>
        <v>Реєстрація місця проживання особи</v>
      </c>
      <c r="E855" s="1" t="str">
        <f>"Реєстрація місця проживання"</f>
        <v>Реєстрація місця проживання</v>
      </c>
      <c r="F855" s="1" t="str">
        <f>"Відділ реєстрації Новокаховської міської ради"</f>
        <v>Відділ реєстрації Новокаховської міської ради</v>
      </c>
      <c r="G855" s="1" t="str">
        <f>"1"</f>
        <v>1</v>
      </c>
      <c r="H855" s="1" t="str">
        <f>"Результат"</f>
        <v>Результат</v>
      </c>
      <c r="I855" s="1" t="str">
        <f t="shared" si="148"/>
        <v>Позитивний</v>
      </c>
      <c r="J855" s="1" t="str">
        <f>"Так"</f>
        <v>Так</v>
      </c>
    </row>
    <row r="856" spans="1:10" ht="90" x14ac:dyDescent="0.25">
      <c r="A856" s="1" t="str">
        <f>"884-2020/27"</f>
        <v>884-2020/27</v>
      </c>
      <c r="B856" s="1" t="str">
        <f t="shared" si="149"/>
        <v>07.02.2020</v>
      </c>
      <c r="C856" s="1" t="str">
        <f t="shared" si="145"/>
        <v>Закрито</v>
      </c>
      <c r="D85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856" s="1" t="str">
        <f>"Інші послуги"</f>
        <v>Інші послуги</v>
      </c>
      <c r="F85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856" s="1" t="str">
        <f>"5"</f>
        <v>5</v>
      </c>
      <c r="H856" s="1" t="str">
        <f>"Результат"</f>
        <v>Результат</v>
      </c>
      <c r="I856" s="1" t="str">
        <f t="shared" si="148"/>
        <v>Позитивний</v>
      </c>
      <c r="J856" s="1" t="str">
        <f>"Ні"</f>
        <v>Ні</v>
      </c>
    </row>
    <row r="857" spans="1:10" ht="45" x14ac:dyDescent="0.25">
      <c r="A857" s="1" t="str">
        <f>"840-2020/27"</f>
        <v>840-2020/27</v>
      </c>
      <c r="B857" s="1" t="str">
        <f t="shared" si="149"/>
        <v>07.02.2020</v>
      </c>
      <c r="C857" s="1" t="str">
        <f t="shared" si="145"/>
        <v>Закрито</v>
      </c>
      <c r="D857" s="1" t="str">
        <f>"Зняття з реєстрації місця проживання"</f>
        <v>Зняття з реєстрації місця проживання</v>
      </c>
      <c r="E857" s="1" t="str">
        <f>"Реєстрація місця проживання"</f>
        <v>Реєстрація місця проживання</v>
      </c>
      <c r="F857" s="1" t="str">
        <f>"Відділ реєстрації Новокаховської міської ради"</f>
        <v>Відділ реєстрації Новокаховської міської ради</v>
      </c>
      <c r="G857" s="1" t="str">
        <f>"1"</f>
        <v>1</v>
      </c>
      <c r="H857" s="1" t="str">
        <f>"Результат"</f>
        <v>Результат</v>
      </c>
      <c r="I857" s="1" t="str">
        <f t="shared" si="148"/>
        <v>Позитивний</v>
      </c>
      <c r="J857" s="1" t="str">
        <f>"Так"</f>
        <v>Так</v>
      </c>
    </row>
    <row r="858" spans="1:10" ht="135" x14ac:dyDescent="0.25">
      <c r="A858" s="1" t="str">
        <f>"889-2020/27"</f>
        <v>889-2020/27</v>
      </c>
      <c r="B858" s="1" t="str">
        <f t="shared" si="149"/>
        <v>07.02.2020</v>
      </c>
      <c r="C858" s="1" t="str">
        <f t="shared" si="145"/>
        <v>Закрито</v>
      </c>
      <c r="D8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58" s="1" t="str">
        <f>"Земельні питання"</f>
        <v>Земельні питання</v>
      </c>
      <c r="F8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58" s="1" t="str">
        <f>"1"</f>
        <v>1</v>
      </c>
      <c r="H858" s="1" t="str">
        <f>"Результат"</f>
        <v>Результат</v>
      </c>
      <c r="I858" s="1" t="str">
        <f t="shared" si="148"/>
        <v>Позитивний</v>
      </c>
      <c r="J858" s="1" t="str">
        <f>"Так"</f>
        <v>Так</v>
      </c>
    </row>
    <row r="859" spans="1:10" ht="135" x14ac:dyDescent="0.25">
      <c r="A859" s="1" t="str">
        <f>"846-2020/27"</f>
        <v>846-2020/27</v>
      </c>
      <c r="B859" s="1" t="str">
        <f t="shared" si="149"/>
        <v>07.02.2020</v>
      </c>
      <c r="C859" s="1" t="str">
        <f t="shared" si="145"/>
        <v>Закрито</v>
      </c>
      <c r="D85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59" s="1" t="str">
        <f>"Земельні питання"</f>
        <v>Земельні питання</v>
      </c>
      <c r="F8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59" s="1" t="str">
        <f>"3"</f>
        <v>3</v>
      </c>
      <c r="H859" s="1" t="str">
        <f>"Результат"</f>
        <v>Результат</v>
      </c>
      <c r="I859" s="1" t="str">
        <f t="shared" si="148"/>
        <v>Позитивний</v>
      </c>
      <c r="J859" s="1" t="str">
        <f>"Ні"</f>
        <v>Ні</v>
      </c>
    </row>
    <row r="860" spans="1:10" ht="135" x14ac:dyDescent="0.25">
      <c r="A860" s="1" t="str">
        <f>"885-2020/27"</f>
        <v>885-2020/27</v>
      </c>
      <c r="B860" s="1" t="str">
        <f t="shared" si="149"/>
        <v>07.02.2020</v>
      </c>
      <c r="C860" s="1" t="str">
        <f t="shared" si="145"/>
        <v>Закрито</v>
      </c>
      <c r="D86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60" s="1" t="str">
        <f>"Земельні питання"</f>
        <v>Земельні питання</v>
      </c>
      <c r="F8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60" s="1" t="str">
        <f>"3"</f>
        <v>3</v>
      </c>
      <c r="H860" s="1" t="str">
        <f>"Результат"</f>
        <v>Результат</v>
      </c>
      <c r="I860" s="1" t="str">
        <f t="shared" si="148"/>
        <v>Позитивний</v>
      </c>
      <c r="J860" s="1" t="str">
        <f>"Ні"</f>
        <v>Ні</v>
      </c>
    </row>
    <row r="861" spans="1:10" ht="45" x14ac:dyDescent="0.25">
      <c r="A861" s="1" t="str">
        <f>"844-2020/27"</f>
        <v>844-2020/27</v>
      </c>
      <c r="B861" s="1" t="str">
        <f t="shared" si="149"/>
        <v>07.02.2020</v>
      </c>
      <c r="C861" s="1" t="str">
        <f t="shared" si="145"/>
        <v>Закрито</v>
      </c>
      <c r="D861" s="1" t="str">
        <f>"Реєстрація місця проживання особи"</f>
        <v>Реєстрація місця проживання особи</v>
      </c>
      <c r="E861" s="1" t="str">
        <f>"Реєстрація місця проживання"</f>
        <v>Реєстрація місця проживання</v>
      </c>
      <c r="F861" s="1" t="str">
        <f>"Відділ реєстрації Новокаховської міської ради"</f>
        <v>Відділ реєстрації Новокаховської міської ради</v>
      </c>
      <c r="G861" s="1" t="str">
        <f t="shared" ref="G861:G867" si="152">"1"</f>
        <v>1</v>
      </c>
      <c r="H861" s="1" t="str">
        <f>"Результат"</f>
        <v>Результат</v>
      </c>
      <c r="I861" s="1" t="str">
        <f t="shared" si="148"/>
        <v>Позитивний</v>
      </c>
      <c r="J861" s="1" t="str">
        <f t="shared" ref="J861:J867" si="153">"Так"</f>
        <v>Так</v>
      </c>
    </row>
    <row r="862" spans="1:10" ht="45" x14ac:dyDescent="0.25">
      <c r="A862" s="1" t="str">
        <f>"847-2020/27"</f>
        <v>847-2020/27</v>
      </c>
      <c r="B862" s="1" t="str">
        <f t="shared" si="149"/>
        <v>07.02.2020</v>
      </c>
      <c r="C862" s="1" t="str">
        <f t="shared" si="145"/>
        <v>Закрито</v>
      </c>
      <c r="D862" s="1" t="str">
        <f>"Зняття з реєстрації місця проживання"</f>
        <v>Зняття з реєстрації місця проживання</v>
      </c>
      <c r="E862" s="1" t="str">
        <f>"Реєстрація місця проживання"</f>
        <v>Реєстрація місця проживання</v>
      </c>
      <c r="F862" s="1" t="str">
        <f>"Відділ реєстрації Новокаховської міської ради"</f>
        <v>Відділ реєстрації Новокаховської міської ради</v>
      </c>
      <c r="G862" s="1" t="str">
        <f t="shared" si="152"/>
        <v>1</v>
      </c>
      <c r="H862" s="1" t="str">
        <f>"Результат"</f>
        <v>Результат</v>
      </c>
      <c r="I862" s="1" t="str">
        <f t="shared" si="148"/>
        <v>Позитивний</v>
      </c>
      <c r="J862" s="1" t="str">
        <f t="shared" si="153"/>
        <v>Так</v>
      </c>
    </row>
    <row r="863" spans="1:10" ht="105" x14ac:dyDescent="0.25">
      <c r="A863" s="1" t="str">
        <f>"905-2020/27"</f>
        <v>905-2020/27</v>
      </c>
      <c r="B863" s="1" t="str">
        <f t="shared" ref="B863:B879" si="154">"10.02.2020"</f>
        <v>10.02.2020</v>
      </c>
      <c r="C863" s="1" t="str">
        <f t="shared" si="145"/>
        <v>Закрито</v>
      </c>
      <c r="D86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63" s="1" t="str">
        <f>"Земельні питання"</f>
        <v>Земельні питання</v>
      </c>
      <c r="F86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863" s="1" t="str">
        <f t="shared" si="152"/>
        <v>1</v>
      </c>
      <c r="H863" s="1" t="str">
        <f>"Результат"</f>
        <v>Результат</v>
      </c>
      <c r="I863" s="1" t="str">
        <f t="shared" si="148"/>
        <v>Позитивний</v>
      </c>
      <c r="J863" s="1" t="str">
        <f t="shared" si="153"/>
        <v>Так</v>
      </c>
    </row>
    <row r="864" spans="1:10" ht="45" x14ac:dyDescent="0.25">
      <c r="A864" s="1" t="str">
        <f>"899-2020/27"</f>
        <v>899-2020/27</v>
      </c>
      <c r="B864" s="1" t="str">
        <f t="shared" si="154"/>
        <v>10.02.2020</v>
      </c>
      <c r="C864" s="1" t="str">
        <f t="shared" si="145"/>
        <v>Закрито</v>
      </c>
      <c r="D864" s="1" t="str">
        <f>"Зняття з реєстрації місця проживання"</f>
        <v>Зняття з реєстрації місця проживання</v>
      </c>
      <c r="E864" s="1" t="str">
        <f>"Реєстрація місця проживання"</f>
        <v>Реєстрація місця проживання</v>
      </c>
      <c r="F864" s="1" t="str">
        <f>"Відділ реєстрації Новокаховської міської ради"</f>
        <v>Відділ реєстрації Новокаховської міської ради</v>
      </c>
      <c r="G864" s="1" t="str">
        <f t="shared" si="152"/>
        <v>1</v>
      </c>
      <c r="H864" s="1" t="str">
        <f>"Результат"</f>
        <v>Результат</v>
      </c>
      <c r="I864" s="1" t="str">
        <f t="shared" si="148"/>
        <v>Позитивний</v>
      </c>
      <c r="J864" s="1" t="str">
        <f t="shared" si="153"/>
        <v>Так</v>
      </c>
    </row>
    <row r="865" spans="1:10" ht="45" x14ac:dyDescent="0.25">
      <c r="A865" s="1" t="str">
        <f>"894-2020/27"</f>
        <v>894-2020/27</v>
      </c>
      <c r="B865" s="1" t="str">
        <f t="shared" si="154"/>
        <v>10.02.2020</v>
      </c>
      <c r="C865" s="1" t="str">
        <f t="shared" si="145"/>
        <v>Закрито</v>
      </c>
      <c r="D865" s="1" t="str">
        <f>"Зняття з реєстрації місця проживання"</f>
        <v>Зняття з реєстрації місця проживання</v>
      </c>
      <c r="E865" s="1" t="str">
        <f>"Реєстрація місця проживання"</f>
        <v>Реєстрація місця проживання</v>
      </c>
      <c r="F865" s="1" t="str">
        <f>"Відділ реєстрації Новокаховської міської ради"</f>
        <v>Відділ реєстрації Новокаховської міської ради</v>
      </c>
      <c r="G865" s="1" t="str">
        <f t="shared" si="152"/>
        <v>1</v>
      </c>
      <c r="H865" s="1" t="str">
        <f>"Результат"</f>
        <v>Результат</v>
      </c>
      <c r="I865" s="1" t="str">
        <f t="shared" si="148"/>
        <v>Позитивний</v>
      </c>
      <c r="J865" s="1" t="str">
        <f t="shared" si="153"/>
        <v>Так</v>
      </c>
    </row>
    <row r="866" spans="1:10" ht="45" x14ac:dyDescent="0.25">
      <c r="A866" s="1" t="str">
        <f>"895-2020/27"</f>
        <v>895-2020/27</v>
      </c>
      <c r="B866" s="1" t="str">
        <f t="shared" si="154"/>
        <v>10.02.2020</v>
      </c>
      <c r="C866" s="1" t="str">
        <f t="shared" si="145"/>
        <v>Закрито</v>
      </c>
      <c r="D866" s="1" t="str">
        <f>"Зняття з реєстрації місця проживання"</f>
        <v>Зняття з реєстрації місця проживання</v>
      </c>
      <c r="E866" s="1" t="str">
        <f>"Реєстрація місця проживання"</f>
        <v>Реєстрація місця проживання</v>
      </c>
      <c r="F866" s="1" t="str">
        <f>"Відділ реєстрації Новокаховської міської ради"</f>
        <v>Відділ реєстрації Новокаховської міської ради</v>
      </c>
      <c r="G866" s="1" t="str">
        <f t="shared" si="152"/>
        <v>1</v>
      </c>
      <c r="H866" s="1" t="str">
        <f>"Результат"</f>
        <v>Результат</v>
      </c>
      <c r="I866" s="1" t="str">
        <f t="shared" si="148"/>
        <v>Позитивний</v>
      </c>
      <c r="J866" s="1" t="str">
        <f t="shared" si="153"/>
        <v>Так</v>
      </c>
    </row>
    <row r="867" spans="1:10" ht="45" x14ac:dyDescent="0.25">
      <c r="A867" s="1" t="str">
        <f>"893-2020/27"</f>
        <v>893-2020/27</v>
      </c>
      <c r="B867" s="1" t="str">
        <f t="shared" si="154"/>
        <v>10.02.2020</v>
      </c>
      <c r="C867" s="1" t="str">
        <f t="shared" si="145"/>
        <v>Закрито</v>
      </c>
      <c r="D867" s="1" t="str">
        <f>"Зняття з реєстрації місця проживання"</f>
        <v>Зняття з реєстрації місця проживання</v>
      </c>
      <c r="E867" s="1" t="str">
        <f>"Реєстрація місця проживання"</f>
        <v>Реєстрація місця проживання</v>
      </c>
      <c r="F867" s="1" t="str">
        <f>"Відділ реєстрації Новокаховської міської ради"</f>
        <v>Відділ реєстрації Новокаховської міської ради</v>
      </c>
      <c r="G867" s="1" t="str">
        <f t="shared" si="152"/>
        <v>1</v>
      </c>
      <c r="H867" s="1" t="str">
        <f>"Результат"</f>
        <v>Результат</v>
      </c>
      <c r="I867" s="1" t="str">
        <f t="shared" si="148"/>
        <v>Позитивний</v>
      </c>
      <c r="J867" s="1" t="str">
        <f t="shared" si="153"/>
        <v>Так</v>
      </c>
    </row>
    <row r="868" spans="1:10" ht="135" x14ac:dyDescent="0.25">
      <c r="A868" s="1" t="str">
        <f>"906-2020/27"</f>
        <v>906-2020/27</v>
      </c>
      <c r="B868" s="1" t="str">
        <f t="shared" si="154"/>
        <v>10.02.2020</v>
      </c>
      <c r="C868" s="1" t="str">
        <f t="shared" ref="C868:C931" si="155">"Закрито"</f>
        <v>Закрито</v>
      </c>
      <c r="D86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68" s="1" t="str">
        <f>"Земельні питання"</f>
        <v>Земельні питання</v>
      </c>
      <c r="F8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68" s="1" t="str">
        <f>"14"</f>
        <v>14</v>
      </c>
      <c r="H868" s="1" t="str">
        <f>"Результат"</f>
        <v>Результат</v>
      </c>
      <c r="I868" s="1" t="str">
        <f t="shared" ref="I868:I883" si="156">"Позитивний"</f>
        <v>Позитивний</v>
      </c>
      <c r="J868" s="1" t="str">
        <f>"Ні"</f>
        <v>Ні</v>
      </c>
    </row>
    <row r="869" spans="1:10" ht="135" x14ac:dyDescent="0.25">
      <c r="A869" s="1" t="str">
        <f>"896-2020/27"</f>
        <v>896-2020/27</v>
      </c>
      <c r="B869" s="1" t="str">
        <f t="shared" si="154"/>
        <v>10.02.2020</v>
      </c>
      <c r="C869" s="1" t="str">
        <f t="shared" si="155"/>
        <v>Закрито</v>
      </c>
      <c r="D86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69" s="1" t="str">
        <f>"Земельні питання"</f>
        <v>Земельні питання</v>
      </c>
      <c r="F8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69" s="1" t="str">
        <f>"14"</f>
        <v>14</v>
      </c>
      <c r="H869" s="1" t="str">
        <f>"Результат"</f>
        <v>Результат</v>
      </c>
      <c r="I869" s="1" t="str">
        <f t="shared" si="156"/>
        <v>Позитивний</v>
      </c>
      <c r="J869" s="1" t="str">
        <f>"Ні"</f>
        <v>Ні</v>
      </c>
    </row>
    <row r="870" spans="1:10" ht="135" x14ac:dyDescent="0.25">
      <c r="A870" s="1" t="str">
        <f>"897-2020/27"</f>
        <v>897-2020/27</v>
      </c>
      <c r="B870" s="1" t="str">
        <f t="shared" si="154"/>
        <v>10.02.2020</v>
      </c>
      <c r="C870" s="1" t="str">
        <f t="shared" si="155"/>
        <v>Закрито</v>
      </c>
      <c r="D87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70" s="1" t="str">
        <f>"Земельні питання"</f>
        <v>Земельні питання</v>
      </c>
      <c r="F8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70" s="1" t="str">
        <f>"3"</f>
        <v>3</v>
      </c>
      <c r="H870" s="1" t="str">
        <f>"Результат"</f>
        <v>Результат</v>
      </c>
      <c r="I870" s="1" t="str">
        <f t="shared" si="156"/>
        <v>Позитивний</v>
      </c>
      <c r="J870" s="1" t="str">
        <f>"Ні"</f>
        <v>Ні</v>
      </c>
    </row>
    <row r="871" spans="1:10" ht="225" x14ac:dyDescent="0.25">
      <c r="A871" s="1" t="str">
        <f>"903-2020/27"</f>
        <v>903-2020/27</v>
      </c>
      <c r="B871" s="1" t="str">
        <f t="shared" si="154"/>
        <v>10.02.2020</v>
      </c>
      <c r="C871" s="1" t="str">
        <f t="shared" si="155"/>
        <v>Закрито</v>
      </c>
      <c r="D871" s="1" t="s">
        <v>1</v>
      </c>
      <c r="E871" s="1" t="str">
        <f>"Будівництво"</f>
        <v>Будівництво</v>
      </c>
      <c r="F87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871" s="1" t="str">
        <f>"30"</f>
        <v>30</v>
      </c>
      <c r="H871" s="1" t="str">
        <f>"Результат"</f>
        <v>Результат</v>
      </c>
      <c r="I871" s="1" t="str">
        <f t="shared" si="156"/>
        <v>Позитивний</v>
      </c>
      <c r="J871" s="1" t="str">
        <f>"Ні"</f>
        <v>Ні</v>
      </c>
    </row>
    <row r="872" spans="1:10" ht="135" x14ac:dyDescent="0.25">
      <c r="A872" s="1" t="str">
        <f>"900-2020/27"</f>
        <v>900-2020/27</v>
      </c>
      <c r="B872" s="1" t="str">
        <f t="shared" si="154"/>
        <v>10.02.2020</v>
      </c>
      <c r="C872" s="1" t="str">
        <f t="shared" si="155"/>
        <v>Закрито</v>
      </c>
      <c r="D87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72" s="1" t="str">
        <f>"Земельні питання"</f>
        <v>Земельні питання</v>
      </c>
      <c r="F8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72" s="1" t="str">
        <f>"14"</f>
        <v>14</v>
      </c>
      <c r="H872" s="1" t="str">
        <f>"Результат"</f>
        <v>Результат</v>
      </c>
      <c r="I872" s="1" t="str">
        <f t="shared" si="156"/>
        <v>Позитивний</v>
      </c>
      <c r="J872" s="1" t="str">
        <f>"Ні"</f>
        <v>Ні</v>
      </c>
    </row>
    <row r="873" spans="1:10" ht="135" x14ac:dyDescent="0.25">
      <c r="A873" s="1" t="str">
        <f>"904-2020/27"</f>
        <v>904-2020/27</v>
      </c>
      <c r="B873" s="1" t="str">
        <f t="shared" si="154"/>
        <v>10.02.2020</v>
      </c>
      <c r="C873" s="1" t="str">
        <f t="shared" si="155"/>
        <v>Закрито</v>
      </c>
      <c r="D87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73" s="1" t="str">
        <f>"Земельні питання"</f>
        <v>Земельні питання</v>
      </c>
      <c r="F8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73" s="1" t="str">
        <f>"1"</f>
        <v>1</v>
      </c>
      <c r="H873" s="1" t="str">
        <f>"Результат"</f>
        <v>Результат</v>
      </c>
      <c r="I873" s="1" t="str">
        <f t="shared" si="156"/>
        <v>Позитивний</v>
      </c>
      <c r="J873" s="1" t="str">
        <f>"Так"</f>
        <v>Так</v>
      </c>
    </row>
    <row r="874" spans="1:10" ht="45" x14ac:dyDescent="0.25">
      <c r="A874" s="1" t="str">
        <f>"891-2020/27"</f>
        <v>891-2020/27</v>
      </c>
      <c r="B874" s="1" t="str">
        <f t="shared" si="154"/>
        <v>10.02.2020</v>
      </c>
      <c r="C874" s="1" t="str">
        <f t="shared" si="155"/>
        <v>Закрито</v>
      </c>
      <c r="D874" s="1" t="str">
        <f>"Зняття з реєстрації місця проживання"</f>
        <v>Зняття з реєстрації місця проживання</v>
      </c>
      <c r="E874" s="1" t="str">
        <f>"Реєстрація місця проживання"</f>
        <v>Реєстрація місця проживання</v>
      </c>
      <c r="F874" s="1" t="str">
        <f>"Відділ реєстрації Новокаховської міської ради"</f>
        <v>Відділ реєстрації Новокаховської міської ради</v>
      </c>
      <c r="G874" s="1" t="str">
        <f>"1"</f>
        <v>1</v>
      </c>
      <c r="H874" s="1" t="str">
        <f>"Результат"</f>
        <v>Результат</v>
      </c>
      <c r="I874" s="1" t="str">
        <f t="shared" si="156"/>
        <v>Позитивний</v>
      </c>
      <c r="J874" s="1" t="str">
        <f>"Так"</f>
        <v>Так</v>
      </c>
    </row>
    <row r="875" spans="1:10" ht="45" x14ac:dyDescent="0.25">
      <c r="A875" s="1" t="str">
        <f>"898-2020/27"</f>
        <v>898-2020/27</v>
      </c>
      <c r="B875" s="1" t="str">
        <f t="shared" si="154"/>
        <v>10.02.2020</v>
      </c>
      <c r="C875" s="1" t="str">
        <f t="shared" si="155"/>
        <v>Закрито</v>
      </c>
      <c r="D875" s="1" t="str">
        <f>"Реєстрація місця проживання особи"</f>
        <v>Реєстрація місця проживання особи</v>
      </c>
      <c r="E875" s="1" t="str">
        <f>"Реєстрація місця проживання"</f>
        <v>Реєстрація місця проживання</v>
      </c>
      <c r="F875" s="1" t="str">
        <f>"Відділ реєстрації Новокаховської міської ради"</f>
        <v>Відділ реєстрації Новокаховської міської ради</v>
      </c>
      <c r="G875" s="1" t="str">
        <f>"1"</f>
        <v>1</v>
      </c>
      <c r="H875" s="1" t="str">
        <f>"Результат"</f>
        <v>Результат</v>
      </c>
      <c r="I875" s="1" t="str">
        <f t="shared" si="156"/>
        <v>Позитивний</v>
      </c>
      <c r="J875" s="1" t="str">
        <f>"Так"</f>
        <v>Так</v>
      </c>
    </row>
    <row r="876" spans="1:10" ht="225" x14ac:dyDescent="0.25">
      <c r="A876" s="1" t="str">
        <f>"901-2020/27"</f>
        <v>901-2020/27</v>
      </c>
      <c r="B876" s="1" t="str">
        <f t="shared" si="154"/>
        <v>10.02.2020</v>
      </c>
      <c r="C876" s="1" t="str">
        <f t="shared" si="155"/>
        <v>Закрито</v>
      </c>
      <c r="D876" s="1" t="s">
        <v>1</v>
      </c>
      <c r="E876" s="1" t="str">
        <f>"Будівництво"</f>
        <v>Будівництво</v>
      </c>
      <c r="F87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876" s="1" t="str">
        <f>"30"</f>
        <v>30</v>
      </c>
      <c r="H876" s="1" t="str">
        <f>"Результат"</f>
        <v>Результат</v>
      </c>
      <c r="I876" s="1" t="str">
        <f t="shared" si="156"/>
        <v>Позитивний</v>
      </c>
      <c r="J876" s="1" t="str">
        <f>"Ні"</f>
        <v>Ні</v>
      </c>
    </row>
    <row r="877" spans="1:10" ht="45" x14ac:dyDescent="0.25">
      <c r="A877" s="1" t="str">
        <f>"890-2020/27"</f>
        <v>890-2020/27</v>
      </c>
      <c r="B877" s="1" t="str">
        <f t="shared" si="154"/>
        <v>10.02.2020</v>
      </c>
      <c r="C877" s="1" t="str">
        <f t="shared" si="155"/>
        <v>Закрито</v>
      </c>
      <c r="D877" s="1" t="str">
        <f>"Реєстрація місця проживання особи"</f>
        <v>Реєстрація місця проживання особи</v>
      </c>
      <c r="E877" s="1" t="str">
        <f>"Реєстрація місця проживання"</f>
        <v>Реєстрація місця проживання</v>
      </c>
      <c r="F877" s="1" t="str">
        <f>"Відділ реєстрації Новокаховської міської ради"</f>
        <v>Відділ реєстрації Новокаховської міської ради</v>
      </c>
      <c r="G877" s="1" t="str">
        <f>"1"</f>
        <v>1</v>
      </c>
      <c r="H877" s="1" t="str">
        <f>"Результат"</f>
        <v>Результат</v>
      </c>
      <c r="I877" s="1" t="str">
        <f t="shared" si="156"/>
        <v>Позитивний</v>
      </c>
      <c r="J877" s="1" t="str">
        <f>"Так"</f>
        <v>Так</v>
      </c>
    </row>
    <row r="878" spans="1:10" ht="135" x14ac:dyDescent="0.25">
      <c r="A878" s="1" t="str">
        <f>"892-2020/27"</f>
        <v>892-2020/27</v>
      </c>
      <c r="B878" s="1" t="str">
        <f t="shared" si="154"/>
        <v>10.02.2020</v>
      </c>
      <c r="C878" s="1" t="str">
        <f t="shared" si="155"/>
        <v>Закрито</v>
      </c>
      <c r="D878" s="1" t="str">
        <f>"Внесення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витягу"</f>
        <v>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</v>
      </c>
      <c r="E878" s="1" t="str">
        <f>"Земельні питання"</f>
        <v>Земельні питання</v>
      </c>
      <c r="F8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78" s="1" t="str">
        <f>"14"</f>
        <v>14</v>
      </c>
      <c r="H878" s="1" t="str">
        <f>"Результат"</f>
        <v>Результат</v>
      </c>
      <c r="I878" s="1" t="str">
        <f t="shared" si="156"/>
        <v>Позитивний</v>
      </c>
      <c r="J878" s="1" t="str">
        <f>"Ні"</f>
        <v>Ні</v>
      </c>
    </row>
    <row r="879" spans="1:10" ht="135" x14ac:dyDescent="0.25">
      <c r="A879" s="1" t="str">
        <f>"902-2020/27"</f>
        <v>902-2020/27</v>
      </c>
      <c r="B879" s="1" t="str">
        <f t="shared" si="154"/>
        <v>10.02.2020</v>
      </c>
      <c r="C879" s="1" t="str">
        <f t="shared" si="155"/>
        <v>Закрито</v>
      </c>
      <c r="D87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79" s="1" t="str">
        <f>"Земельні питання"</f>
        <v>Земельні питання</v>
      </c>
      <c r="F8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79" s="1" t="str">
        <f>"3"</f>
        <v>3</v>
      </c>
      <c r="H879" s="1" t="str">
        <f>"Результат"</f>
        <v>Результат</v>
      </c>
      <c r="I879" s="1" t="str">
        <f t="shared" si="156"/>
        <v>Позитивний</v>
      </c>
      <c r="J879" s="1" t="str">
        <f>"Ні"</f>
        <v>Ні</v>
      </c>
    </row>
    <row r="880" spans="1:10" ht="135" x14ac:dyDescent="0.25">
      <c r="A880" s="1" t="str">
        <f>"952-2020/27"</f>
        <v>952-2020/27</v>
      </c>
      <c r="B880" s="1" t="str">
        <f t="shared" ref="B880:B933" si="157">"11.02.2020"</f>
        <v>11.02.2020</v>
      </c>
      <c r="C880" s="1" t="str">
        <f t="shared" si="155"/>
        <v>Закрито</v>
      </c>
      <c r="D88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80" s="1" t="str">
        <f>"Земельні питання"</f>
        <v>Земельні питання</v>
      </c>
      <c r="F8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80" s="1" t="str">
        <f>"3"</f>
        <v>3</v>
      </c>
      <c r="H880" s="1" t="str">
        <f>"Результат"</f>
        <v>Результат</v>
      </c>
      <c r="I880" s="1" t="str">
        <f t="shared" si="156"/>
        <v>Позитивний</v>
      </c>
      <c r="J880" s="1" t="str">
        <f>"Ні"</f>
        <v>Ні</v>
      </c>
    </row>
    <row r="881" spans="1:10" ht="135" x14ac:dyDescent="0.25">
      <c r="A881" s="1" t="str">
        <f>"932-2020/27"</f>
        <v>932-2020/27</v>
      </c>
      <c r="B881" s="1" t="str">
        <f t="shared" si="157"/>
        <v>11.02.2020</v>
      </c>
      <c r="C881" s="1" t="str">
        <f t="shared" si="155"/>
        <v>Закрито</v>
      </c>
      <c r="D88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81" s="1" t="str">
        <f>"Земельні питання"</f>
        <v>Земельні питання</v>
      </c>
      <c r="F8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81" s="1" t="str">
        <f>"14"</f>
        <v>14</v>
      </c>
      <c r="H881" s="1" t="str">
        <f>"Результат"</f>
        <v>Результат</v>
      </c>
      <c r="I881" s="1" t="str">
        <f t="shared" si="156"/>
        <v>Позитивний</v>
      </c>
      <c r="J881" s="1" t="str">
        <f>"Ні"</f>
        <v>Ні</v>
      </c>
    </row>
    <row r="882" spans="1:10" ht="135" x14ac:dyDescent="0.25">
      <c r="A882" s="1" t="str">
        <f>"950-2020/27"</f>
        <v>950-2020/27</v>
      </c>
      <c r="B882" s="1" t="str">
        <f t="shared" si="157"/>
        <v>11.02.2020</v>
      </c>
      <c r="C882" s="1" t="str">
        <f t="shared" si="155"/>
        <v>Закрито</v>
      </c>
      <c r="D88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82" s="1" t="str">
        <f>"Земельні питання"</f>
        <v>Земельні питання</v>
      </c>
      <c r="F8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82" s="1" t="str">
        <f>"3"</f>
        <v>3</v>
      </c>
      <c r="H882" s="1" t="str">
        <f>"Результат"</f>
        <v>Результат</v>
      </c>
      <c r="I882" s="1" t="str">
        <f t="shared" si="156"/>
        <v>Позитивний</v>
      </c>
      <c r="J882" s="1" t="str">
        <f>"Ні"</f>
        <v>Ні</v>
      </c>
    </row>
    <row r="883" spans="1:10" ht="45" x14ac:dyDescent="0.25">
      <c r="A883" s="1" t="str">
        <f>"915-2020/27"</f>
        <v>915-2020/27</v>
      </c>
      <c r="B883" s="1" t="str">
        <f t="shared" si="157"/>
        <v>11.02.2020</v>
      </c>
      <c r="C883" s="1" t="str">
        <f t="shared" si="155"/>
        <v>Закрито</v>
      </c>
      <c r="D883" s="1" t="str">
        <f>"Реєстрація місця проживання особи"</f>
        <v>Реєстрація місця проживання особи</v>
      </c>
      <c r="E883" s="1" t="str">
        <f>"Реєстрація місця проживання"</f>
        <v>Реєстрація місця проживання</v>
      </c>
      <c r="F883" s="1" t="str">
        <f>"Відділ реєстрації Новокаховської міської ради"</f>
        <v>Відділ реєстрації Новокаховської міської ради</v>
      </c>
      <c r="G883" s="1" t="str">
        <f>"1"</f>
        <v>1</v>
      </c>
      <c r="H883" s="1" t="str">
        <f>"Результат"</f>
        <v>Результат</v>
      </c>
      <c r="I883" s="1" t="str">
        <f t="shared" si="156"/>
        <v>Позитивний</v>
      </c>
      <c r="J883" s="1" t="str">
        <f>"Так"</f>
        <v>Так</v>
      </c>
    </row>
    <row r="884" spans="1:10" ht="45" x14ac:dyDescent="0.25">
      <c r="A884" s="1" t="str">
        <f>"918-2020/27"</f>
        <v>918-2020/27</v>
      </c>
      <c r="B884" s="1" t="str">
        <f t="shared" si="157"/>
        <v>11.02.2020</v>
      </c>
      <c r="C884" s="1" t="str">
        <f t="shared" si="155"/>
        <v>Закрито</v>
      </c>
      <c r="D884" s="1" t="str">
        <f>"Реєстрація місця проживання особи"</f>
        <v>Реєстрація місця проживання особи</v>
      </c>
      <c r="E884" s="1" t="str">
        <f>"Реєстрація місця проживання"</f>
        <v>Реєстрація місця проживання</v>
      </c>
      <c r="F884" s="1" t="str">
        <f>"Відділ реєстрації Новокаховської міської ради"</f>
        <v>Відділ реєстрації Новокаховської міської ради</v>
      </c>
      <c r="G884" s="1" t="str">
        <f>"1"</f>
        <v>1</v>
      </c>
      <c r="H884" s="1" t="str">
        <f>"Результат"</f>
        <v>Результат</v>
      </c>
      <c r="I884" s="1" t="str">
        <f>"Мотивована відмова"</f>
        <v>Мотивована відмова</v>
      </c>
      <c r="J884" s="1" t="str">
        <f>"Так"</f>
        <v>Так</v>
      </c>
    </row>
    <row r="885" spans="1:10" ht="135" x14ac:dyDescent="0.25">
      <c r="A885" s="1" t="str">
        <f>"947-2020/27"</f>
        <v>947-2020/27</v>
      </c>
      <c r="B885" s="1" t="str">
        <f t="shared" si="157"/>
        <v>11.02.2020</v>
      </c>
      <c r="C885" s="1" t="str">
        <f t="shared" si="155"/>
        <v>Закрито</v>
      </c>
      <c r="D88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85" s="1" t="str">
        <f>"Земельні питання"</f>
        <v>Земельні питання</v>
      </c>
      <c r="F8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85" s="1" t="str">
        <f>"3"</f>
        <v>3</v>
      </c>
      <c r="H885" s="1" t="str">
        <f>"Результат"</f>
        <v>Результат</v>
      </c>
      <c r="I885" s="1" t="str">
        <f t="shared" ref="I885:I907" si="158">"Позитивний"</f>
        <v>Позитивний</v>
      </c>
      <c r="J885" s="1" t="str">
        <f>"Ні"</f>
        <v>Ні</v>
      </c>
    </row>
    <row r="886" spans="1:10" ht="90" x14ac:dyDescent="0.25">
      <c r="A886" s="1" t="str">
        <f>"923-2020/27"</f>
        <v>923-2020/27</v>
      </c>
      <c r="B886" s="1" t="str">
        <f t="shared" si="157"/>
        <v>11.02.2020</v>
      </c>
      <c r="C886" s="1" t="str">
        <f t="shared" si="155"/>
        <v>Закрито</v>
      </c>
      <c r="D88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886" s="1" t="str">
        <f>"Інші послуги"</f>
        <v>Інші послуги</v>
      </c>
      <c r="F88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886" s="1" t="str">
        <f>"5"</f>
        <v>5</v>
      </c>
      <c r="H886" s="1" t="str">
        <f>"Результат"</f>
        <v>Результат</v>
      </c>
      <c r="I886" s="1" t="str">
        <f t="shared" si="158"/>
        <v>Позитивний</v>
      </c>
      <c r="J886" s="1" t="str">
        <f>"Ні"</f>
        <v>Ні</v>
      </c>
    </row>
    <row r="887" spans="1:10" ht="135" x14ac:dyDescent="0.25">
      <c r="A887" s="1" t="str">
        <f>"958-2020/27"</f>
        <v>958-2020/27</v>
      </c>
      <c r="B887" s="1" t="str">
        <f t="shared" si="157"/>
        <v>11.02.2020</v>
      </c>
      <c r="C887" s="1" t="str">
        <f t="shared" si="155"/>
        <v>Закрито</v>
      </c>
      <c r="D8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887" s="1" t="str">
        <f>"Земельні питання"</f>
        <v>Земельні питання</v>
      </c>
      <c r="F8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87" s="1" t="str">
        <f>"1"</f>
        <v>1</v>
      </c>
      <c r="H887" s="1" t="str">
        <f>"Результат"</f>
        <v>Результат</v>
      </c>
      <c r="I887" s="1" t="str">
        <f t="shared" si="158"/>
        <v>Позитивний</v>
      </c>
      <c r="J887" s="1" t="str">
        <f>"Так"</f>
        <v>Так</v>
      </c>
    </row>
    <row r="888" spans="1:10" ht="135" x14ac:dyDescent="0.25">
      <c r="A888" s="1" t="str">
        <f>"926-2020/27"</f>
        <v>926-2020/27</v>
      </c>
      <c r="B888" s="1" t="str">
        <f t="shared" si="157"/>
        <v>11.02.2020</v>
      </c>
      <c r="C888" s="1" t="str">
        <f t="shared" si="155"/>
        <v>Закрито</v>
      </c>
      <c r="D88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88" s="1" t="str">
        <f>"Земельні питання"</f>
        <v>Земельні питання</v>
      </c>
      <c r="F8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88" s="1" t="str">
        <f>"14"</f>
        <v>14</v>
      </c>
      <c r="H888" s="1" t="str">
        <f>"Результат"</f>
        <v>Результат</v>
      </c>
      <c r="I888" s="1" t="str">
        <f t="shared" si="158"/>
        <v>Позитивний</v>
      </c>
      <c r="J888" s="1" t="str">
        <f>"Ні"</f>
        <v>Ні</v>
      </c>
    </row>
    <row r="889" spans="1:10" ht="135" x14ac:dyDescent="0.25">
      <c r="A889" s="1" t="str">
        <f>"940-2020/27"</f>
        <v>940-2020/27</v>
      </c>
      <c r="B889" s="1" t="str">
        <f t="shared" si="157"/>
        <v>11.02.2020</v>
      </c>
      <c r="C889" s="1" t="str">
        <f t="shared" si="155"/>
        <v>Закрито</v>
      </c>
      <c r="D889" s="1" t="str">
        <f>"Державна реєстрація обмежень у використанні земель з видачею витягу"</f>
        <v>Державна реєстрація обмежень у використанні земель з видачею витягу</v>
      </c>
      <c r="E889" s="1" t="str">
        <f>"Земельні питання"</f>
        <v>Земельні питання</v>
      </c>
      <c r="F8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89" s="1" t="str">
        <f>"14"</f>
        <v>14</v>
      </c>
      <c r="H889" s="1" t="str">
        <f>"Результат"</f>
        <v>Результат</v>
      </c>
      <c r="I889" s="1" t="str">
        <f t="shared" si="158"/>
        <v>Позитивний</v>
      </c>
      <c r="J889" s="1" t="str">
        <f>"Ні"</f>
        <v>Ні</v>
      </c>
    </row>
    <row r="890" spans="1:10" ht="135" x14ac:dyDescent="0.25">
      <c r="A890" s="1" t="str">
        <f>"949-2020/27"</f>
        <v>949-2020/27</v>
      </c>
      <c r="B890" s="1" t="str">
        <f t="shared" si="157"/>
        <v>11.02.2020</v>
      </c>
      <c r="C890" s="1" t="str">
        <f t="shared" si="155"/>
        <v>Закрито</v>
      </c>
      <c r="D89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90" s="1" t="str">
        <f>"Земельні питання"</f>
        <v>Земельні питання</v>
      </c>
      <c r="F8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90" s="1" t="str">
        <f>"3"</f>
        <v>3</v>
      </c>
      <c r="H890" s="1" t="str">
        <f>"Результат"</f>
        <v>Результат</v>
      </c>
      <c r="I890" s="1" t="str">
        <f t="shared" si="158"/>
        <v>Позитивний</v>
      </c>
      <c r="J890" s="1" t="str">
        <f>"Ні"</f>
        <v>Ні</v>
      </c>
    </row>
    <row r="891" spans="1:10" ht="45" x14ac:dyDescent="0.25">
      <c r="A891" s="1" t="str">
        <f>"919-2020/27"</f>
        <v>919-2020/27</v>
      </c>
      <c r="B891" s="1" t="str">
        <f t="shared" si="157"/>
        <v>11.02.2020</v>
      </c>
      <c r="C891" s="1" t="str">
        <f t="shared" si="155"/>
        <v>Закрито</v>
      </c>
      <c r="D891" s="1" t="str">
        <f>"Реєстрація місця проживання особи"</f>
        <v>Реєстрація місця проживання особи</v>
      </c>
      <c r="E891" s="1" t="str">
        <f>"Реєстрація місця проживання"</f>
        <v>Реєстрація місця проживання</v>
      </c>
      <c r="F891" s="1" t="str">
        <f>"Відділ реєстрації Новокаховської міської ради"</f>
        <v>Відділ реєстрації Новокаховської міської ради</v>
      </c>
      <c r="G891" s="1" t="str">
        <f>"1"</f>
        <v>1</v>
      </c>
      <c r="H891" s="1" t="str">
        <f>"Результат"</f>
        <v>Результат</v>
      </c>
      <c r="I891" s="1" t="str">
        <f t="shared" si="158"/>
        <v>Позитивний</v>
      </c>
      <c r="J891" s="1" t="str">
        <f>"Так"</f>
        <v>Так</v>
      </c>
    </row>
    <row r="892" spans="1:10" ht="135" x14ac:dyDescent="0.25">
      <c r="A892" s="1" t="str">
        <f>"953-2020/27"</f>
        <v>953-2020/27</v>
      </c>
      <c r="B892" s="1" t="str">
        <f t="shared" si="157"/>
        <v>11.02.2020</v>
      </c>
      <c r="C892" s="1" t="str">
        <f t="shared" si="155"/>
        <v>Закрито</v>
      </c>
      <c r="D89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892" s="1" t="str">
        <f>"Земельні питання"</f>
        <v>Земельні питання</v>
      </c>
      <c r="F8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92" s="1" t="str">
        <f>"3"</f>
        <v>3</v>
      </c>
      <c r="H892" s="1" t="str">
        <f>"Результат"</f>
        <v>Результат</v>
      </c>
      <c r="I892" s="1" t="str">
        <f t="shared" si="158"/>
        <v>Позитивний</v>
      </c>
      <c r="J892" s="1" t="str">
        <f>"Ні"</f>
        <v>Ні</v>
      </c>
    </row>
    <row r="893" spans="1:10" ht="135" x14ac:dyDescent="0.25">
      <c r="A893" s="1" t="str">
        <f>"933-2020/27"</f>
        <v>933-2020/27</v>
      </c>
      <c r="B893" s="1" t="str">
        <f t="shared" si="157"/>
        <v>11.02.2020</v>
      </c>
      <c r="C893" s="1" t="str">
        <f t="shared" si="155"/>
        <v>Закрито</v>
      </c>
      <c r="D89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93" s="1" t="str">
        <f>"Земельні питання"</f>
        <v>Земельні питання</v>
      </c>
      <c r="F8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93" s="1" t="str">
        <f>"14"</f>
        <v>14</v>
      </c>
      <c r="H893" s="1" t="str">
        <f>"Результат"</f>
        <v>Результат</v>
      </c>
      <c r="I893" s="1" t="str">
        <f t="shared" si="158"/>
        <v>Позитивний</v>
      </c>
      <c r="J893" s="1" t="str">
        <f>"Ні"</f>
        <v>Ні</v>
      </c>
    </row>
    <row r="894" spans="1:10" ht="135" x14ac:dyDescent="0.25">
      <c r="A894" s="1" t="str">
        <f>"941-2020/27"</f>
        <v>941-2020/27</v>
      </c>
      <c r="B894" s="1" t="str">
        <f t="shared" si="157"/>
        <v>11.02.2020</v>
      </c>
      <c r="C894" s="1" t="str">
        <f t="shared" si="155"/>
        <v>Закрито</v>
      </c>
      <c r="D894" s="1" t="str">
        <f>"Державна реєстрація обмежень у використанні земель з видачею витягу"</f>
        <v>Державна реєстрація обмежень у використанні земель з видачею витягу</v>
      </c>
      <c r="E894" s="1" t="str">
        <f>"Земельні питання"</f>
        <v>Земельні питання</v>
      </c>
      <c r="F8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94" s="1" t="str">
        <f>"14"</f>
        <v>14</v>
      </c>
      <c r="H894" s="1" t="str">
        <f>"Результат"</f>
        <v>Результат</v>
      </c>
      <c r="I894" s="1" t="str">
        <f t="shared" si="158"/>
        <v>Позитивний</v>
      </c>
      <c r="J894" s="1" t="str">
        <f>"Ні"</f>
        <v>Ні</v>
      </c>
    </row>
    <row r="895" spans="1:10" ht="135" x14ac:dyDescent="0.25">
      <c r="A895" s="1" t="str">
        <f>"938-2020/27"</f>
        <v>938-2020/27</v>
      </c>
      <c r="B895" s="1" t="str">
        <f t="shared" si="157"/>
        <v>11.02.2020</v>
      </c>
      <c r="C895" s="1" t="str">
        <f t="shared" si="155"/>
        <v>Закрито</v>
      </c>
      <c r="D895" s="1" t="str">
        <f>"Державна реєстрація обмежень у використанні земель з видачею витягу"</f>
        <v>Державна реєстрація обмежень у використанні земель з видачею витягу</v>
      </c>
      <c r="E895" s="1" t="str">
        <f>"Земельні питання"</f>
        <v>Земельні питання</v>
      </c>
      <c r="F8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95" s="1" t="str">
        <f>"14"</f>
        <v>14</v>
      </c>
      <c r="H895" s="1" t="str">
        <f>"Результат"</f>
        <v>Результат</v>
      </c>
      <c r="I895" s="1" t="str">
        <f t="shared" si="158"/>
        <v>Позитивний</v>
      </c>
      <c r="J895" s="1" t="str">
        <f>"Ні"</f>
        <v>Ні</v>
      </c>
    </row>
    <row r="896" spans="1:10" ht="45" x14ac:dyDescent="0.25">
      <c r="A896" s="1" t="str">
        <f>"916-2020/27"</f>
        <v>916-2020/27</v>
      </c>
      <c r="B896" s="1" t="str">
        <f t="shared" si="157"/>
        <v>11.02.2020</v>
      </c>
      <c r="C896" s="1" t="str">
        <f t="shared" si="155"/>
        <v>Закрито</v>
      </c>
      <c r="D896" s="1" t="str">
        <f>"Зняття з реєстрації місця проживання"</f>
        <v>Зняття з реєстрації місця проживання</v>
      </c>
      <c r="E896" s="1" t="str">
        <f>"Реєстрація місця проживання"</f>
        <v>Реєстрація місця проживання</v>
      </c>
      <c r="F896" s="1" t="str">
        <f>"Відділ реєстрації Новокаховської міської ради"</f>
        <v>Відділ реєстрації Новокаховської міської ради</v>
      </c>
      <c r="G896" s="1" t="str">
        <f>"1"</f>
        <v>1</v>
      </c>
      <c r="H896" s="1" t="str">
        <f>"Результат"</f>
        <v>Результат</v>
      </c>
      <c r="I896" s="1" t="str">
        <f t="shared" si="158"/>
        <v>Позитивний</v>
      </c>
      <c r="J896" s="1" t="str">
        <f>"Так"</f>
        <v>Так</v>
      </c>
    </row>
    <row r="897" spans="1:10" ht="120" x14ac:dyDescent="0.25">
      <c r="A897" s="1" t="str">
        <f>"912-2020/27"</f>
        <v>912-2020/27</v>
      </c>
      <c r="B897" s="1" t="str">
        <f t="shared" si="157"/>
        <v>11.02.2020</v>
      </c>
      <c r="C897" s="1" t="str">
        <f t="shared" si="155"/>
        <v>Закрито</v>
      </c>
      <c r="D897" s="1" t="str">
        <f>"Реєстрація декларації відповідності матеріально-технічної бази суб’єкта господарювання вимогам законодавства з питань пожежної безпеки"</f>
        <v>Реєстрація декларації відповідності матеріально-технічної бази суб’єкта господарювання вимогам законодавства з питань пожежної безпеки</v>
      </c>
      <c r="E897" s="1" t="str">
        <f>"Пожежна безпека"</f>
        <v>Пожежна безпека</v>
      </c>
      <c r="F897" s="1" t="str">
        <f>"Новокаховський міський відділ Управління Державної служби України з надзвичайних ситуацій у Херсонській області"</f>
        <v>Новокаховський міський відділ Управління Державної служби України з надзвичайних ситуацій у Херсонській області</v>
      </c>
      <c r="G897" s="1" t="str">
        <f>"10"</f>
        <v>10</v>
      </c>
      <c r="H897" s="1" t="str">
        <f>"Результат"</f>
        <v>Результат</v>
      </c>
      <c r="I897" s="1" t="str">
        <f t="shared" si="158"/>
        <v>Позитивний</v>
      </c>
      <c r="J897" s="1" t="str">
        <f>"Ні"</f>
        <v>Ні</v>
      </c>
    </row>
    <row r="898" spans="1:10" ht="45" x14ac:dyDescent="0.25">
      <c r="A898" s="1" t="str">
        <f>"921-2020/27"</f>
        <v>921-2020/27</v>
      </c>
      <c r="B898" s="1" t="str">
        <f t="shared" si="157"/>
        <v>11.02.2020</v>
      </c>
      <c r="C898" s="1" t="str">
        <f t="shared" si="155"/>
        <v>Закрито</v>
      </c>
      <c r="D898" s="1" t="str">
        <f>"Зняття з реєстрації місця проживання"</f>
        <v>Зняття з реєстрації місця проживання</v>
      </c>
      <c r="E898" s="1" t="str">
        <f>"Реєстрація місця проживання"</f>
        <v>Реєстрація місця проживання</v>
      </c>
      <c r="F898" s="1" t="str">
        <f>"Відділ реєстрації Новокаховської міської ради"</f>
        <v>Відділ реєстрації Новокаховської міської ради</v>
      </c>
      <c r="G898" s="1" t="str">
        <f>"1"</f>
        <v>1</v>
      </c>
      <c r="H898" s="1" t="str">
        <f>"Результат"</f>
        <v>Результат</v>
      </c>
      <c r="I898" s="1" t="str">
        <f t="shared" si="158"/>
        <v>Позитивний</v>
      </c>
      <c r="J898" s="1" t="str">
        <f>"Так"</f>
        <v>Так</v>
      </c>
    </row>
    <row r="899" spans="1:10" ht="135" x14ac:dyDescent="0.25">
      <c r="A899" s="1" t="str">
        <f>"936-2020/27"</f>
        <v>936-2020/27</v>
      </c>
      <c r="B899" s="1" t="str">
        <f t="shared" si="157"/>
        <v>11.02.2020</v>
      </c>
      <c r="C899" s="1" t="str">
        <f t="shared" si="155"/>
        <v>Закрито</v>
      </c>
      <c r="D89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899" s="1" t="str">
        <f>"Земельні питання"</f>
        <v>Земельні питання</v>
      </c>
      <c r="F8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899" s="1" t="str">
        <f>"14"</f>
        <v>14</v>
      </c>
      <c r="H899" s="1" t="str">
        <f>"Результат"</f>
        <v>Результат</v>
      </c>
      <c r="I899" s="1" t="str">
        <f t="shared" si="158"/>
        <v>Позитивний</v>
      </c>
      <c r="J899" s="1" t="str">
        <f>"Ні"</f>
        <v>Ні</v>
      </c>
    </row>
    <row r="900" spans="1:10" ht="135" x14ac:dyDescent="0.25">
      <c r="A900" s="1" t="str">
        <f>"908-2020/27"</f>
        <v>908-2020/27</v>
      </c>
      <c r="B900" s="1" t="str">
        <f t="shared" si="157"/>
        <v>11.02.2020</v>
      </c>
      <c r="C900" s="1" t="str">
        <f t="shared" si="155"/>
        <v>Закрито</v>
      </c>
      <c r="D90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00" s="1" t="str">
        <f>"Земельні питання"</f>
        <v>Земельні питання</v>
      </c>
      <c r="F9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0" s="1" t="str">
        <f>"1"</f>
        <v>1</v>
      </c>
      <c r="H900" s="1" t="str">
        <f>"Результат"</f>
        <v>Результат</v>
      </c>
      <c r="I900" s="1" t="str">
        <f t="shared" si="158"/>
        <v>Позитивний</v>
      </c>
      <c r="J900" s="1" t="str">
        <f>"Так"</f>
        <v>Так</v>
      </c>
    </row>
    <row r="901" spans="1:10" ht="135" x14ac:dyDescent="0.25">
      <c r="A901" s="1" t="str">
        <f>"934-2020/27"</f>
        <v>934-2020/27</v>
      </c>
      <c r="B901" s="1" t="str">
        <f t="shared" si="157"/>
        <v>11.02.2020</v>
      </c>
      <c r="C901" s="1" t="str">
        <f t="shared" si="155"/>
        <v>Закрито</v>
      </c>
      <c r="D90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01" s="1" t="str">
        <f>"Земельні питання"</f>
        <v>Земельні питання</v>
      </c>
      <c r="F9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1" s="1" t="str">
        <f>"14"</f>
        <v>14</v>
      </c>
      <c r="H901" s="1" t="str">
        <f>"Результат"</f>
        <v>Результат</v>
      </c>
      <c r="I901" s="1" t="str">
        <f t="shared" si="158"/>
        <v>Позитивний</v>
      </c>
      <c r="J901" s="1" t="str">
        <f>"Ні"</f>
        <v>Ні</v>
      </c>
    </row>
    <row r="902" spans="1:10" ht="135" x14ac:dyDescent="0.25">
      <c r="A902" s="1" t="str">
        <f>"930-2020/27"</f>
        <v>930-2020/27</v>
      </c>
      <c r="B902" s="1" t="str">
        <f t="shared" si="157"/>
        <v>11.02.2020</v>
      </c>
      <c r="C902" s="1" t="str">
        <f t="shared" si="155"/>
        <v>Закрито</v>
      </c>
      <c r="D9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02" s="1" t="str">
        <f>"Земельні питання"</f>
        <v>Земельні питання</v>
      </c>
      <c r="F9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2" s="1" t="str">
        <f>"3"</f>
        <v>3</v>
      </c>
      <c r="H902" s="1" t="str">
        <f>"Результат"</f>
        <v>Результат</v>
      </c>
      <c r="I902" s="1" t="str">
        <f t="shared" si="158"/>
        <v>Позитивний</v>
      </c>
      <c r="J902" s="1" t="str">
        <f>"Ні"</f>
        <v>Ні</v>
      </c>
    </row>
    <row r="903" spans="1:10" ht="135" x14ac:dyDescent="0.25">
      <c r="A903" s="1" t="str">
        <f>"944-2020/27"</f>
        <v>944-2020/27</v>
      </c>
      <c r="B903" s="1" t="str">
        <f t="shared" si="157"/>
        <v>11.02.2020</v>
      </c>
      <c r="C903" s="1" t="str">
        <f t="shared" si="155"/>
        <v>Закрито</v>
      </c>
      <c r="D90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03" s="1" t="str">
        <f>"Земельні питання"</f>
        <v>Земельні питання</v>
      </c>
      <c r="F9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3" s="1" t="str">
        <f>"3"</f>
        <v>3</v>
      </c>
      <c r="H903" s="1" t="str">
        <f>"Результат"</f>
        <v>Результат</v>
      </c>
      <c r="I903" s="1" t="str">
        <f t="shared" si="158"/>
        <v>Позитивний</v>
      </c>
      <c r="J903" s="1" t="str">
        <f>"Ні"</f>
        <v>Ні</v>
      </c>
    </row>
    <row r="904" spans="1:10" ht="45" x14ac:dyDescent="0.25">
      <c r="A904" s="1" t="str">
        <f>"920-2020/27"</f>
        <v>920-2020/27</v>
      </c>
      <c r="B904" s="1" t="str">
        <f t="shared" si="157"/>
        <v>11.02.2020</v>
      </c>
      <c r="C904" s="1" t="str">
        <f t="shared" si="155"/>
        <v>Закрито</v>
      </c>
      <c r="D904" s="1" t="str">
        <f>"Реєстрація місця проживання особи"</f>
        <v>Реєстрація місця проживання особи</v>
      </c>
      <c r="E904" s="1" t="str">
        <f>"Реєстрація місця проживання"</f>
        <v>Реєстрація місця проживання</v>
      </c>
      <c r="F904" s="1" t="str">
        <f>"Відділ реєстрації Новокаховської міської ради"</f>
        <v>Відділ реєстрації Новокаховської міської ради</v>
      </c>
      <c r="G904" s="1" t="str">
        <f>"1"</f>
        <v>1</v>
      </c>
      <c r="H904" s="1" t="str">
        <f>"Результат"</f>
        <v>Результат</v>
      </c>
      <c r="I904" s="1" t="str">
        <f t="shared" si="158"/>
        <v>Позитивний</v>
      </c>
      <c r="J904" s="1" t="str">
        <f>"Так"</f>
        <v>Так</v>
      </c>
    </row>
    <row r="905" spans="1:10" ht="135" x14ac:dyDescent="0.25">
      <c r="A905" s="1" t="str">
        <f>"942-2020/27"</f>
        <v>942-2020/27</v>
      </c>
      <c r="B905" s="1" t="str">
        <f t="shared" si="157"/>
        <v>11.02.2020</v>
      </c>
      <c r="C905" s="1" t="str">
        <f t="shared" si="155"/>
        <v>Закрито</v>
      </c>
      <c r="D90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05" s="1" t="str">
        <f>"Земельні питання"</f>
        <v>Земельні питання</v>
      </c>
      <c r="F9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5" s="1" t="str">
        <f>"3"</f>
        <v>3</v>
      </c>
      <c r="H905" s="1" t="str">
        <f>"Результат"</f>
        <v>Результат</v>
      </c>
      <c r="I905" s="1" t="str">
        <f t="shared" si="158"/>
        <v>Позитивний</v>
      </c>
      <c r="J905" s="1" t="str">
        <f>"Ні"</f>
        <v>Ні</v>
      </c>
    </row>
    <row r="906" spans="1:10" ht="135" x14ac:dyDescent="0.25">
      <c r="A906" s="1" t="str">
        <f>"948-2020/27"</f>
        <v>948-2020/27</v>
      </c>
      <c r="B906" s="1" t="str">
        <f t="shared" si="157"/>
        <v>11.02.2020</v>
      </c>
      <c r="C906" s="1" t="str">
        <f t="shared" si="155"/>
        <v>Закрито</v>
      </c>
      <c r="D90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06" s="1" t="str">
        <f>"Земельні питання"</f>
        <v>Земельні питання</v>
      </c>
      <c r="F9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6" s="1" t="str">
        <f>"3"</f>
        <v>3</v>
      </c>
      <c r="H906" s="1" t="str">
        <f>"Результат"</f>
        <v>Результат</v>
      </c>
      <c r="I906" s="1" t="str">
        <f t="shared" si="158"/>
        <v>Позитивний</v>
      </c>
      <c r="J906" s="1" t="str">
        <f>"Ні"</f>
        <v>Ні</v>
      </c>
    </row>
    <row r="907" spans="1:10" ht="45" x14ac:dyDescent="0.25">
      <c r="A907" s="1" t="str">
        <f>"911-2020/27"</f>
        <v>911-2020/27</v>
      </c>
      <c r="B907" s="1" t="str">
        <f t="shared" si="157"/>
        <v>11.02.2020</v>
      </c>
      <c r="C907" s="1" t="str">
        <f t="shared" si="155"/>
        <v>Закрито</v>
      </c>
      <c r="D907" s="1" t="str">
        <f>"Реєстрація місця проживання особи"</f>
        <v>Реєстрація місця проживання особи</v>
      </c>
      <c r="E907" s="1" t="str">
        <f>"Реєстрація місця проживання"</f>
        <v>Реєстрація місця проживання</v>
      </c>
      <c r="F907" s="1" t="str">
        <f>"Відділ реєстрації Новокаховської міської ради"</f>
        <v>Відділ реєстрації Новокаховської міської ради</v>
      </c>
      <c r="G907" s="1" t="str">
        <f>"1"</f>
        <v>1</v>
      </c>
      <c r="H907" s="1" t="str">
        <f>"Результат"</f>
        <v>Результат</v>
      </c>
      <c r="I907" s="1" t="str">
        <f t="shared" si="158"/>
        <v>Позитивний</v>
      </c>
      <c r="J907" s="1" t="str">
        <f>"Так"</f>
        <v>Так</v>
      </c>
    </row>
    <row r="908" spans="1:10" ht="135" x14ac:dyDescent="0.25">
      <c r="A908" s="1" t="str">
        <f>"907-2020/27"</f>
        <v>907-2020/27</v>
      </c>
      <c r="B908" s="1" t="str">
        <f t="shared" si="157"/>
        <v>11.02.2020</v>
      </c>
      <c r="C908" s="1" t="str">
        <f t="shared" si="155"/>
        <v>Закрито</v>
      </c>
      <c r="D90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08" s="1" t="str">
        <f t="shared" ref="E908:E913" si="159">"Земельні питання"</f>
        <v>Земельні питання</v>
      </c>
      <c r="F908" s="1" t="str">
        <f t="shared" ref="F908:F913" si="160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8" s="1" t="str">
        <f>"3"</f>
        <v>3</v>
      </c>
      <c r="H908" s="1" t="str">
        <f>"Результат"</f>
        <v>Результат</v>
      </c>
      <c r="I908" s="1" t="str">
        <f>"Мотивована відмова"</f>
        <v>Мотивована відмова</v>
      </c>
      <c r="J908" s="1" t="str">
        <f>"Ні"</f>
        <v>Ні</v>
      </c>
    </row>
    <row r="909" spans="1:10" ht="135" x14ac:dyDescent="0.25">
      <c r="A909" s="1" t="str">
        <f>"925-2020/27"</f>
        <v>925-2020/27</v>
      </c>
      <c r="B909" s="1" t="str">
        <f t="shared" si="157"/>
        <v>11.02.2020</v>
      </c>
      <c r="C909" s="1" t="str">
        <f t="shared" si="155"/>
        <v>Закрито</v>
      </c>
      <c r="D90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09" s="1" t="str">
        <f t="shared" si="159"/>
        <v>Земельні питання</v>
      </c>
      <c r="F909" s="1" t="str">
        <f t="shared" si="16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09" s="1" t="str">
        <f>"1"</f>
        <v>1</v>
      </c>
      <c r="H909" s="1" t="str">
        <f>"Результат"</f>
        <v>Результат</v>
      </c>
      <c r="I909" s="1" t="str">
        <f t="shared" ref="I909:I927" si="161">"Позитивний"</f>
        <v>Позитивний</v>
      </c>
      <c r="J909" s="1" t="str">
        <f>"Так"</f>
        <v>Так</v>
      </c>
    </row>
    <row r="910" spans="1:10" ht="135" x14ac:dyDescent="0.25">
      <c r="A910" s="1" t="str">
        <f>"929-2020/27"</f>
        <v>929-2020/27</v>
      </c>
      <c r="B910" s="1" t="str">
        <f t="shared" si="157"/>
        <v>11.02.2020</v>
      </c>
      <c r="C910" s="1" t="str">
        <f t="shared" si="155"/>
        <v>Закрито</v>
      </c>
      <c r="D91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10" s="1" t="str">
        <f t="shared" si="159"/>
        <v>Земельні питання</v>
      </c>
      <c r="F910" s="1" t="str">
        <f t="shared" si="16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10" s="1" t="str">
        <f>"3"</f>
        <v>3</v>
      </c>
      <c r="H910" s="1" t="str">
        <f>"Результат"</f>
        <v>Результат</v>
      </c>
      <c r="I910" s="1" t="str">
        <f t="shared" si="161"/>
        <v>Позитивний</v>
      </c>
      <c r="J910" s="1" t="str">
        <f t="shared" ref="J910:J918" si="162">"Ні"</f>
        <v>Ні</v>
      </c>
    </row>
    <row r="911" spans="1:10" ht="135" x14ac:dyDescent="0.25">
      <c r="A911" s="1" t="str">
        <f>"954-2020/27"</f>
        <v>954-2020/27</v>
      </c>
      <c r="B911" s="1" t="str">
        <f t="shared" si="157"/>
        <v>11.02.2020</v>
      </c>
      <c r="C911" s="1" t="str">
        <f t="shared" si="155"/>
        <v>Закрито</v>
      </c>
      <c r="D9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11" s="1" t="str">
        <f t="shared" si="159"/>
        <v>Земельні питання</v>
      </c>
      <c r="F911" s="1" t="str">
        <f t="shared" si="16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11" s="1" t="str">
        <f>"3"</f>
        <v>3</v>
      </c>
      <c r="H911" s="1" t="str">
        <f>"Результат"</f>
        <v>Результат</v>
      </c>
      <c r="I911" s="1" t="str">
        <f t="shared" si="161"/>
        <v>Позитивний</v>
      </c>
      <c r="J911" s="1" t="str">
        <f t="shared" si="162"/>
        <v>Ні</v>
      </c>
    </row>
    <row r="912" spans="1:10" ht="135" x14ac:dyDescent="0.25">
      <c r="A912" s="1" t="str">
        <f>"951-2020/27"</f>
        <v>951-2020/27</v>
      </c>
      <c r="B912" s="1" t="str">
        <f t="shared" si="157"/>
        <v>11.02.2020</v>
      </c>
      <c r="C912" s="1" t="str">
        <f t="shared" si="155"/>
        <v>Закрито</v>
      </c>
      <c r="D9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12" s="1" t="str">
        <f t="shared" si="159"/>
        <v>Земельні питання</v>
      </c>
      <c r="F912" s="1" t="str">
        <f t="shared" si="16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12" s="1" t="str">
        <f>"3"</f>
        <v>3</v>
      </c>
      <c r="H912" s="1" t="str">
        <f>"Результат"</f>
        <v>Результат</v>
      </c>
      <c r="I912" s="1" t="str">
        <f t="shared" si="161"/>
        <v>Позитивний</v>
      </c>
      <c r="J912" s="1" t="str">
        <f t="shared" si="162"/>
        <v>Ні</v>
      </c>
    </row>
    <row r="913" spans="1:10" ht="135" x14ac:dyDescent="0.25">
      <c r="A913" s="1" t="str">
        <f>"946-2020/27"</f>
        <v>946-2020/27</v>
      </c>
      <c r="B913" s="1" t="str">
        <f t="shared" si="157"/>
        <v>11.02.2020</v>
      </c>
      <c r="C913" s="1" t="str">
        <f t="shared" si="155"/>
        <v>Закрито</v>
      </c>
      <c r="D9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13" s="1" t="str">
        <f t="shared" si="159"/>
        <v>Земельні питання</v>
      </c>
      <c r="F913" s="1" t="str">
        <f t="shared" si="16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13" s="1" t="str">
        <f>"3"</f>
        <v>3</v>
      </c>
      <c r="H913" s="1" t="str">
        <f>"Результат"</f>
        <v>Результат</v>
      </c>
      <c r="I913" s="1" t="str">
        <f t="shared" si="161"/>
        <v>Позитивний</v>
      </c>
      <c r="J913" s="1" t="str">
        <f t="shared" si="162"/>
        <v>Ні</v>
      </c>
    </row>
    <row r="914" spans="1:10" ht="90" x14ac:dyDescent="0.25">
      <c r="A914" s="1" t="str">
        <f>"924-2020/27"</f>
        <v>924-2020/27</v>
      </c>
      <c r="B914" s="1" t="str">
        <f t="shared" si="157"/>
        <v>11.02.2020</v>
      </c>
      <c r="C914" s="1" t="str">
        <f t="shared" si="155"/>
        <v>Закрито</v>
      </c>
      <c r="D91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14" s="1" t="str">
        <f>"Інші послуги"</f>
        <v>Інші послуги</v>
      </c>
      <c r="F91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14" s="1" t="str">
        <f>"5"</f>
        <v>5</v>
      </c>
      <c r="H914" s="1" t="str">
        <f>"Результат"</f>
        <v>Результат</v>
      </c>
      <c r="I914" s="1" t="str">
        <f t="shared" si="161"/>
        <v>Позитивний</v>
      </c>
      <c r="J914" s="1" t="str">
        <f t="shared" si="162"/>
        <v>Ні</v>
      </c>
    </row>
    <row r="915" spans="1:10" ht="135" x14ac:dyDescent="0.25">
      <c r="A915" s="1" t="str">
        <f>"955-2020/27"</f>
        <v>955-2020/27</v>
      </c>
      <c r="B915" s="1" t="str">
        <f t="shared" si="157"/>
        <v>11.02.2020</v>
      </c>
      <c r="C915" s="1" t="str">
        <f t="shared" si="155"/>
        <v>Закрито</v>
      </c>
      <c r="D91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15" s="1" t="str">
        <f>"Земельні питання"</f>
        <v>Земельні питання</v>
      </c>
      <c r="F9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15" s="1" t="str">
        <f>"3"</f>
        <v>3</v>
      </c>
      <c r="H915" s="1" t="str">
        <f>"Результат"</f>
        <v>Результат</v>
      </c>
      <c r="I915" s="1" t="str">
        <f t="shared" si="161"/>
        <v>Позитивний</v>
      </c>
      <c r="J915" s="1" t="str">
        <f t="shared" si="162"/>
        <v>Ні</v>
      </c>
    </row>
    <row r="916" spans="1:10" ht="135" x14ac:dyDescent="0.25">
      <c r="A916" s="1" t="str">
        <f>"945-2020/27"</f>
        <v>945-2020/27</v>
      </c>
      <c r="B916" s="1" t="str">
        <f t="shared" si="157"/>
        <v>11.02.2020</v>
      </c>
      <c r="C916" s="1" t="str">
        <f t="shared" si="155"/>
        <v>Закрито</v>
      </c>
      <c r="D9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16" s="1" t="str">
        <f>"Земельні питання"</f>
        <v>Земельні питання</v>
      </c>
      <c r="F9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16" s="1" t="str">
        <f>"3"</f>
        <v>3</v>
      </c>
      <c r="H916" s="1" t="str">
        <f>"Результат"</f>
        <v>Результат</v>
      </c>
      <c r="I916" s="1" t="str">
        <f t="shared" si="161"/>
        <v>Позитивний</v>
      </c>
      <c r="J916" s="1" t="str">
        <f t="shared" si="162"/>
        <v>Ні</v>
      </c>
    </row>
    <row r="917" spans="1:10" ht="135" x14ac:dyDescent="0.25">
      <c r="A917" s="1" t="str">
        <f>"943-2020/27"</f>
        <v>943-2020/27</v>
      </c>
      <c r="B917" s="1" t="str">
        <f t="shared" si="157"/>
        <v>11.02.2020</v>
      </c>
      <c r="C917" s="1" t="str">
        <f t="shared" si="155"/>
        <v>Закрито</v>
      </c>
      <c r="D91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17" s="1" t="str">
        <f>"Земельні питання"</f>
        <v>Земельні питання</v>
      </c>
      <c r="F9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17" s="1" t="str">
        <f>"3"</f>
        <v>3</v>
      </c>
      <c r="H917" s="1" t="str">
        <f>"Результат"</f>
        <v>Результат</v>
      </c>
      <c r="I917" s="1" t="str">
        <f t="shared" si="161"/>
        <v>Позитивний</v>
      </c>
      <c r="J917" s="1" t="str">
        <f t="shared" si="162"/>
        <v>Ні</v>
      </c>
    </row>
    <row r="918" spans="1:10" ht="90" x14ac:dyDescent="0.25">
      <c r="A918" s="1" t="str">
        <f>"959-2020/27"</f>
        <v>959-2020/27</v>
      </c>
      <c r="B918" s="1" t="str">
        <f t="shared" si="157"/>
        <v>11.02.2020</v>
      </c>
      <c r="C918" s="1" t="str">
        <f t="shared" si="155"/>
        <v>Закрито</v>
      </c>
      <c r="D91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18" s="1" t="str">
        <f>"Інші послуги"</f>
        <v>Інші послуги</v>
      </c>
      <c r="F91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18" s="1" t="str">
        <f>"5"</f>
        <v>5</v>
      </c>
      <c r="H918" s="1" t="str">
        <f>"Результат"</f>
        <v>Результат</v>
      </c>
      <c r="I918" s="1" t="str">
        <f t="shared" si="161"/>
        <v>Позитивний</v>
      </c>
      <c r="J918" s="1" t="str">
        <f t="shared" si="162"/>
        <v>Ні</v>
      </c>
    </row>
    <row r="919" spans="1:10" ht="45" x14ac:dyDescent="0.25">
      <c r="A919" s="1" t="str">
        <f>"917-2020/27"</f>
        <v>917-2020/27</v>
      </c>
      <c r="B919" s="1" t="str">
        <f t="shared" si="157"/>
        <v>11.02.2020</v>
      </c>
      <c r="C919" s="1" t="str">
        <f t="shared" si="155"/>
        <v>Закрито</v>
      </c>
      <c r="D919" s="1" t="str">
        <f>"Зняття з реєстрації місця проживання"</f>
        <v>Зняття з реєстрації місця проживання</v>
      </c>
      <c r="E919" s="1" t="str">
        <f>"Реєстрація місця проживання"</f>
        <v>Реєстрація місця проживання</v>
      </c>
      <c r="F919" s="1" t="str">
        <f>"Відділ реєстрації Новокаховської міської ради"</f>
        <v>Відділ реєстрації Новокаховської міської ради</v>
      </c>
      <c r="G919" s="1" t="str">
        <f>"1"</f>
        <v>1</v>
      </c>
      <c r="H919" s="1" t="str">
        <f>"Результат"</f>
        <v>Результат</v>
      </c>
      <c r="I919" s="1" t="str">
        <f t="shared" si="161"/>
        <v>Позитивний</v>
      </c>
      <c r="J919" s="1" t="str">
        <f>"Так"</f>
        <v>Так</v>
      </c>
    </row>
    <row r="920" spans="1:10" ht="135" x14ac:dyDescent="0.25">
      <c r="A920" s="1" t="str">
        <f>"909-2020/27"</f>
        <v>909-2020/27</v>
      </c>
      <c r="B920" s="1" t="str">
        <f t="shared" si="157"/>
        <v>11.02.2020</v>
      </c>
      <c r="C920" s="1" t="str">
        <f t="shared" si="155"/>
        <v>Закрито</v>
      </c>
      <c r="D92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20" s="1" t="str">
        <f>"Земельні питання"</f>
        <v>Земельні питання</v>
      </c>
      <c r="F9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0" s="1" t="str">
        <f>"3"</f>
        <v>3</v>
      </c>
      <c r="H920" s="1" t="str">
        <f>"Результат"</f>
        <v>Результат</v>
      </c>
      <c r="I920" s="1" t="str">
        <f t="shared" si="161"/>
        <v>Позитивний</v>
      </c>
      <c r="J920" s="1" t="str">
        <f>"Ні"</f>
        <v>Ні</v>
      </c>
    </row>
    <row r="921" spans="1:10" ht="135" x14ac:dyDescent="0.25">
      <c r="A921" s="1" t="str">
        <f>"928-2020/27"</f>
        <v>928-2020/27</v>
      </c>
      <c r="B921" s="1" t="str">
        <f t="shared" si="157"/>
        <v>11.02.2020</v>
      </c>
      <c r="C921" s="1" t="str">
        <f t="shared" si="155"/>
        <v>Закрито</v>
      </c>
      <c r="D92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21" s="1" t="str">
        <f>"Земельні питання"</f>
        <v>Земельні питання</v>
      </c>
      <c r="F9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1" s="1" t="str">
        <f>"14"</f>
        <v>14</v>
      </c>
      <c r="H921" s="1" t="str">
        <f>"Результат"</f>
        <v>Результат</v>
      </c>
      <c r="I921" s="1" t="str">
        <f t="shared" si="161"/>
        <v>Позитивний</v>
      </c>
      <c r="J921" s="1" t="str">
        <f>"Ні"</f>
        <v>Ні</v>
      </c>
    </row>
    <row r="922" spans="1:10" ht="45" x14ac:dyDescent="0.25">
      <c r="A922" s="1" t="str">
        <f>"922-2020/27"</f>
        <v>922-2020/27</v>
      </c>
      <c r="B922" s="1" t="str">
        <f t="shared" si="157"/>
        <v>11.02.2020</v>
      </c>
      <c r="C922" s="1" t="str">
        <f t="shared" si="155"/>
        <v>Закрито</v>
      </c>
      <c r="D922" s="1" t="str">
        <f>"Реєстрація місця проживання особи"</f>
        <v>Реєстрація місця проживання особи</v>
      </c>
      <c r="E922" s="1" t="str">
        <f>"Реєстрація місця проживання"</f>
        <v>Реєстрація місця проживання</v>
      </c>
      <c r="F922" s="1" t="str">
        <f>"Відділ реєстрації Новокаховської міської ради"</f>
        <v>Відділ реєстрації Новокаховської міської ради</v>
      </c>
      <c r="G922" s="1" t="str">
        <f>"1"</f>
        <v>1</v>
      </c>
      <c r="H922" s="1" t="str">
        <f>"Результат"</f>
        <v>Результат</v>
      </c>
      <c r="I922" s="1" t="str">
        <f t="shared" si="161"/>
        <v>Позитивний</v>
      </c>
      <c r="J922" s="1" t="str">
        <f>"Так"</f>
        <v>Так</v>
      </c>
    </row>
    <row r="923" spans="1:10" ht="135" x14ac:dyDescent="0.25">
      <c r="A923" s="1" t="str">
        <f>"939-2020/27"</f>
        <v>939-2020/27</v>
      </c>
      <c r="B923" s="1" t="str">
        <f t="shared" si="157"/>
        <v>11.02.2020</v>
      </c>
      <c r="C923" s="1" t="str">
        <f t="shared" si="155"/>
        <v>Закрито</v>
      </c>
      <c r="D923" s="1" t="str">
        <f>"Державна реєстрація обмежень у використанні земель з видачею витягу"</f>
        <v>Державна реєстрація обмежень у використанні земель з видачею витягу</v>
      </c>
      <c r="E923" s="1" t="str">
        <f t="shared" ref="E923:E930" si="163">"Земельні питання"</f>
        <v>Земельні питання</v>
      </c>
      <c r="F9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3" s="1" t="str">
        <f>"14"</f>
        <v>14</v>
      </c>
      <c r="H923" s="1" t="str">
        <f>"Результат"</f>
        <v>Результат</v>
      </c>
      <c r="I923" s="1" t="str">
        <f t="shared" si="161"/>
        <v>Позитивний</v>
      </c>
      <c r="J923" s="1" t="str">
        <f>"Ні"</f>
        <v>Ні</v>
      </c>
    </row>
    <row r="924" spans="1:10" ht="135" x14ac:dyDescent="0.25">
      <c r="A924" s="1" t="str">
        <f>"957-2020/27"</f>
        <v>957-2020/27</v>
      </c>
      <c r="B924" s="1" t="str">
        <f t="shared" si="157"/>
        <v>11.02.2020</v>
      </c>
      <c r="C924" s="1" t="str">
        <f t="shared" si="155"/>
        <v>Закрито</v>
      </c>
      <c r="D9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24" s="1" t="str">
        <f t="shared" si="163"/>
        <v>Земельні питання</v>
      </c>
      <c r="F9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4" s="1" t="str">
        <f>"1"</f>
        <v>1</v>
      </c>
      <c r="H924" s="1" t="str">
        <f>"Результат"</f>
        <v>Результат</v>
      </c>
      <c r="I924" s="1" t="str">
        <f t="shared" si="161"/>
        <v>Позитивний</v>
      </c>
      <c r="J924" s="1" t="str">
        <f>"Так"</f>
        <v>Так</v>
      </c>
    </row>
    <row r="925" spans="1:10" ht="105" x14ac:dyDescent="0.25">
      <c r="A925" s="1" t="str">
        <f>"931-2020/27"</f>
        <v>931-2020/27</v>
      </c>
      <c r="B925" s="1" t="str">
        <f t="shared" si="157"/>
        <v>11.02.2020</v>
      </c>
      <c r="C925" s="1" t="str">
        <f t="shared" si="155"/>
        <v>Закрито</v>
      </c>
      <c r="D92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25" s="1" t="str">
        <f t="shared" si="163"/>
        <v>Земельні питання</v>
      </c>
      <c r="F92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925" s="1" t="str">
        <f>"1"</f>
        <v>1</v>
      </c>
      <c r="H925" s="1" t="str">
        <f>"Результат"</f>
        <v>Результат</v>
      </c>
      <c r="I925" s="1" t="str">
        <f t="shared" si="161"/>
        <v>Позитивний</v>
      </c>
      <c r="J925" s="1" t="str">
        <f>"Так"</f>
        <v>Так</v>
      </c>
    </row>
    <row r="926" spans="1:10" ht="105" x14ac:dyDescent="0.25">
      <c r="A926" s="1" t="str">
        <f>"913-2020/27"</f>
        <v>913-2020/27</v>
      </c>
      <c r="B926" s="1" t="str">
        <f t="shared" si="157"/>
        <v>11.02.2020</v>
      </c>
      <c r="C926" s="1" t="str">
        <f t="shared" si="155"/>
        <v>Закрито</v>
      </c>
      <c r="D9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26" s="1" t="str">
        <f t="shared" si="163"/>
        <v>Земельні питання</v>
      </c>
      <c r="F92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926" s="1" t="str">
        <f>"1"</f>
        <v>1</v>
      </c>
      <c r="H926" s="1" t="str">
        <f>"Результат"</f>
        <v>Результат</v>
      </c>
      <c r="I926" s="1" t="str">
        <f t="shared" si="161"/>
        <v>Позитивний</v>
      </c>
      <c r="J926" s="1" t="str">
        <f>"Так"</f>
        <v>Так</v>
      </c>
    </row>
    <row r="927" spans="1:10" ht="135" x14ac:dyDescent="0.25">
      <c r="A927" s="1" t="str">
        <f>"8107-2020/27"</f>
        <v>8107-2020/27</v>
      </c>
      <c r="B927" s="1" t="str">
        <f t="shared" si="157"/>
        <v>11.02.2020</v>
      </c>
      <c r="C927" s="1" t="str">
        <f t="shared" si="155"/>
        <v>Закрито</v>
      </c>
      <c r="D92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27" s="1" t="str">
        <f t="shared" si="163"/>
        <v>Земельні питання</v>
      </c>
      <c r="F9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7" s="1" t="str">
        <f>"1"</f>
        <v>1</v>
      </c>
      <c r="H927" s="1" t="str">
        <f>"Результат"</f>
        <v>Результат</v>
      </c>
      <c r="I927" s="1" t="str">
        <f t="shared" si="161"/>
        <v>Позитивний</v>
      </c>
      <c r="J927" s="1" t="str">
        <f>"Ні"</f>
        <v>Ні</v>
      </c>
    </row>
    <row r="928" spans="1:10" ht="135" x14ac:dyDescent="0.25">
      <c r="A928" s="1" t="str">
        <f>"956-2020/27"</f>
        <v>956-2020/27</v>
      </c>
      <c r="B928" s="1" t="str">
        <f t="shared" si="157"/>
        <v>11.02.2020</v>
      </c>
      <c r="C928" s="1" t="str">
        <f t="shared" si="155"/>
        <v>Закрито</v>
      </c>
      <c r="D928" s="1" t="str">
        <f>"Внесення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витягу"</f>
        <v>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</v>
      </c>
      <c r="E928" s="1" t="str">
        <f t="shared" si="163"/>
        <v>Земельні питання</v>
      </c>
      <c r="F9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8" s="1" t="str">
        <f>"14"</f>
        <v>14</v>
      </c>
      <c r="H928" s="1" t="str">
        <f>"Результат"</f>
        <v>Результат</v>
      </c>
      <c r="I928" s="1" t="str">
        <f>"Мотивована відмова"</f>
        <v>Мотивована відмова</v>
      </c>
      <c r="J928" s="1" t="str">
        <f>"Ні"</f>
        <v>Ні</v>
      </c>
    </row>
    <row r="929" spans="1:10" ht="135" x14ac:dyDescent="0.25">
      <c r="A929" s="1" t="str">
        <f>"927-2020/27"</f>
        <v>927-2020/27</v>
      </c>
      <c r="B929" s="1" t="str">
        <f t="shared" si="157"/>
        <v>11.02.2020</v>
      </c>
      <c r="C929" s="1" t="str">
        <f t="shared" si="155"/>
        <v>Закрито</v>
      </c>
      <c r="D92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29" s="1" t="str">
        <f t="shared" si="163"/>
        <v>Земельні питання</v>
      </c>
      <c r="F9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29" s="1" t="str">
        <f>"14"</f>
        <v>14</v>
      </c>
      <c r="H929" s="1" t="str">
        <f>"Результат"</f>
        <v>Результат</v>
      </c>
      <c r="I929" s="1" t="str">
        <f t="shared" ref="I929:I937" si="164">"Позитивний"</f>
        <v>Позитивний</v>
      </c>
      <c r="J929" s="1" t="str">
        <f>"Ні"</f>
        <v>Ні</v>
      </c>
    </row>
    <row r="930" spans="1:10" ht="135" x14ac:dyDescent="0.25">
      <c r="A930" s="1" t="str">
        <f>"935-2020/27"</f>
        <v>935-2020/27</v>
      </c>
      <c r="B930" s="1" t="str">
        <f t="shared" si="157"/>
        <v>11.02.2020</v>
      </c>
      <c r="C930" s="1" t="str">
        <f t="shared" si="155"/>
        <v>Закрито</v>
      </c>
      <c r="D93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30" s="1" t="str">
        <f t="shared" si="163"/>
        <v>Земельні питання</v>
      </c>
      <c r="F9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30" s="1" t="str">
        <f>"14"</f>
        <v>14</v>
      </c>
      <c r="H930" s="1" t="str">
        <f>"Результат"</f>
        <v>Результат</v>
      </c>
      <c r="I930" s="1" t="str">
        <f t="shared" si="164"/>
        <v>Позитивний</v>
      </c>
      <c r="J930" s="1" t="str">
        <f>"Ні"</f>
        <v>Ні</v>
      </c>
    </row>
    <row r="931" spans="1:10" ht="45" x14ac:dyDescent="0.25">
      <c r="A931" s="1" t="str">
        <f>"914-2020/27"</f>
        <v>914-2020/27</v>
      </c>
      <c r="B931" s="1" t="str">
        <f t="shared" si="157"/>
        <v>11.02.2020</v>
      </c>
      <c r="C931" s="1" t="str">
        <f t="shared" si="155"/>
        <v>Закрито</v>
      </c>
      <c r="D931" s="1" t="str">
        <f>"Реєстрація місця проживання особи"</f>
        <v>Реєстрація місця проживання особи</v>
      </c>
      <c r="E931" s="1" t="str">
        <f>"Реєстрація місця проживання"</f>
        <v>Реєстрація місця проживання</v>
      </c>
      <c r="F931" s="1" t="str">
        <f>"Відділ реєстрації Новокаховської міської ради"</f>
        <v>Відділ реєстрації Новокаховської міської ради</v>
      </c>
      <c r="G931" s="1" t="str">
        <f>"1"</f>
        <v>1</v>
      </c>
      <c r="H931" s="1" t="str">
        <f>"Результат"</f>
        <v>Результат</v>
      </c>
      <c r="I931" s="1" t="str">
        <f t="shared" si="164"/>
        <v>Позитивний</v>
      </c>
      <c r="J931" s="1" t="str">
        <f>"Так"</f>
        <v>Так</v>
      </c>
    </row>
    <row r="932" spans="1:10" ht="135" x14ac:dyDescent="0.25">
      <c r="A932" s="1" t="str">
        <f>"937-2020/27"</f>
        <v>937-2020/27</v>
      </c>
      <c r="B932" s="1" t="str">
        <f t="shared" si="157"/>
        <v>11.02.2020</v>
      </c>
      <c r="C932" s="1" t="str">
        <f t="shared" ref="C932:C948" si="165">"Закрито"</f>
        <v>Закрито</v>
      </c>
      <c r="D93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32" s="1" t="str">
        <f>"Земельні питання"</f>
        <v>Земельні питання</v>
      </c>
      <c r="F9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32" s="1" t="str">
        <f>"14"</f>
        <v>14</v>
      </c>
      <c r="H932" s="1" t="str">
        <f>"Результат"</f>
        <v>Результат</v>
      </c>
      <c r="I932" s="1" t="str">
        <f t="shared" si="164"/>
        <v>Позитивний</v>
      </c>
      <c r="J932" s="1" t="str">
        <f>"Ні"</f>
        <v>Ні</v>
      </c>
    </row>
    <row r="933" spans="1:10" ht="120" x14ac:dyDescent="0.25">
      <c r="A933" s="1" t="str">
        <f>"910-2020/27"</f>
        <v>910-2020/27</v>
      </c>
      <c r="B933" s="1" t="str">
        <f t="shared" si="157"/>
        <v>11.02.2020</v>
      </c>
      <c r="C933" s="1" t="str">
        <f t="shared" si="165"/>
        <v>Закрито</v>
      </c>
      <c r="D933" s="1" t="str">
        <f>"Реєстрація декларації відповідності матеріально-технічної бази суб’єкта господарювання вимогам законодавства з питань пожежної безпеки"</f>
        <v>Реєстрація декларації відповідності матеріально-технічної бази суб’єкта господарювання вимогам законодавства з питань пожежної безпеки</v>
      </c>
      <c r="E933" s="1" t="str">
        <f>"Пожежна безпека"</f>
        <v>Пожежна безпека</v>
      </c>
      <c r="F933" s="1" t="str">
        <f>"Новокаховський міський відділ Управління Державної служби України з надзвичайних ситуацій у Херсонській області"</f>
        <v>Новокаховський міський відділ Управління Державної служби України з надзвичайних ситуацій у Херсонській області</v>
      </c>
      <c r="G933" s="1" t="str">
        <f>"10"</f>
        <v>10</v>
      </c>
      <c r="H933" s="1" t="str">
        <f>"Результат"</f>
        <v>Результат</v>
      </c>
      <c r="I933" s="1" t="str">
        <f t="shared" si="164"/>
        <v>Позитивний</v>
      </c>
      <c r="J933" s="1" t="str">
        <f>"Ні"</f>
        <v>Ні</v>
      </c>
    </row>
    <row r="934" spans="1:10" ht="45" x14ac:dyDescent="0.25">
      <c r="A934" s="1" t="str">
        <f>"962-2020/27"</f>
        <v>962-2020/27</v>
      </c>
      <c r="B934" s="1" t="str">
        <f t="shared" ref="B934:B967" si="166">"12.02.2020"</f>
        <v>12.02.2020</v>
      </c>
      <c r="C934" s="1" t="str">
        <f t="shared" si="165"/>
        <v>Закрито</v>
      </c>
      <c r="D934" s="1" t="str">
        <f>"Зняття з реєстрації місця проживання"</f>
        <v>Зняття з реєстрації місця проживання</v>
      </c>
      <c r="E934" s="1" t="str">
        <f>"Реєстрація місця проживання"</f>
        <v>Реєстрація місця проживання</v>
      </c>
      <c r="F934" s="1" t="str">
        <f>"Відділ реєстрації Новокаховської міської ради"</f>
        <v>Відділ реєстрації Новокаховської міської ради</v>
      </c>
      <c r="G934" s="1" t="str">
        <f>"1"</f>
        <v>1</v>
      </c>
      <c r="H934" s="1" t="str">
        <f>"Результат"</f>
        <v>Результат</v>
      </c>
      <c r="I934" s="1" t="str">
        <f t="shared" si="164"/>
        <v>Позитивний</v>
      </c>
      <c r="J934" s="1" t="str">
        <f>"Так"</f>
        <v>Так</v>
      </c>
    </row>
    <row r="935" spans="1:10" ht="135" x14ac:dyDescent="0.25">
      <c r="A935" s="1" t="str">
        <f>"991-2020/27"</f>
        <v>991-2020/27</v>
      </c>
      <c r="B935" s="1" t="str">
        <f t="shared" si="166"/>
        <v>12.02.2020</v>
      </c>
      <c r="C935" s="1" t="str">
        <f t="shared" si="165"/>
        <v>Закрито</v>
      </c>
      <c r="D93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935" s="1" t="str">
        <f>"Земельні питання"</f>
        <v>Земельні питання</v>
      </c>
      <c r="F9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35" s="1" t="str">
        <f>"14"</f>
        <v>14</v>
      </c>
      <c r="H935" s="1" t="str">
        <f>"Результат"</f>
        <v>Результат</v>
      </c>
      <c r="I935" s="1" t="str">
        <f t="shared" si="164"/>
        <v>Позитивний</v>
      </c>
      <c r="J935" s="1" t="str">
        <f>"Так"</f>
        <v>Так</v>
      </c>
    </row>
    <row r="936" spans="1:10" ht="45" x14ac:dyDescent="0.25">
      <c r="A936" s="1" t="str">
        <f>"984-2020/27"</f>
        <v>984-2020/27</v>
      </c>
      <c r="B936" s="1" t="str">
        <f t="shared" si="166"/>
        <v>12.02.2020</v>
      </c>
      <c r="C936" s="1" t="str">
        <f t="shared" si="165"/>
        <v>Закрито</v>
      </c>
      <c r="D936" s="1" t="str">
        <f>"Реєстрація місця проживання особи"</f>
        <v>Реєстрація місця проживання особи</v>
      </c>
      <c r="E936" s="1" t="str">
        <f>"Реєстрація місця проживання"</f>
        <v>Реєстрація місця проживання</v>
      </c>
      <c r="F936" s="1" t="str">
        <f>"Відділ реєстрації Новокаховської міської ради"</f>
        <v>Відділ реєстрації Новокаховської міської ради</v>
      </c>
      <c r="G936" s="1" t="str">
        <f>"1"</f>
        <v>1</v>
      </c>
      <c r="H936" s="1" t="str">
        <f>"Результат"</f>
        <v>Результат</v>
      </c>
      <c r="I936" s="1" t="str">
        <f t="shared" si="164"/>
        <v>Позитивний</v>
      </c>
      <c r="J936" s="1" t="str">
        <f>"Так"</f>
        <v>Так</v>
      </c>
    </row>
    <row r="937" spans="1:10" ht="105" x14ac:dyDescent="0.25">
      <c r="A937" s="1" t="str">
        <f>"982-2020/27"</f>
        <v>982-2020/27</v>
      </c>
      <c r="B937" s="1" t="str">
        <f t="shared" si="166"/>
        <v>12.02.2020</v>
      </c>
      <c r="C937" s="1" t="str">
        <f t="shared" si="165"/>
        <v>Закрито</v>
      </c>
      <c r="D9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37" s="1" t="str">
        <f>"Земельні питання"</f>
        <v>Земельні питання</v>
      </c>
      <c r="F93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937" s="1" t="str">
        <f>"1"</f>
        <v>1</v>
      </c>
      <c r="H937" s="1" t="str">
        <f>"Результат"</f>
        <v>Результат</v>
      </c>
      <c r="I937" s="1" t="str">
        <f t="shared" si="164"/>
        <v>Позитивний</v>
      </c>
      <c r="J937" s="1" t="str">
        <f>"Так"</f>
        <v>Так</v>
      </c>
    </row>
    <row r="938" spans="1:10" ht="135" x14ac:dyDescent="0.25">
      <c r="A938" s="1" t="str">
        <f>"983-2020/27"</f>
        <v>983-2020/27</v>
      </c>
      <c r="B938" s="1" t="str">
        <f t="shared" si="166"/>
        <v>12.02.2020</v>
      </c>
      <c r="C938" s="1" t="str">
        <f t="shared" si="165"/>
        <v>Закрито</v>
      </c>
      <c r="D93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38" s="1" t="str">
        <f>"Земельні питання"</f>
        <v>Земельні питання</v>
      </c>
      <c r="F9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38" s="1" t="str">
        <f>"14"</f>
        <v>14</v>
      </c>
      <c r="H938" s="1" t="str">
        <f>"Результат"</f>
        <v>Результат</v>
      </c>
      <c r="I938" s="1" t="str">
        <f>"Мотивована відмова"</f>
        <v>Мотивована відмова</v>
      </c>
      <c r="J938" s="1" t="str">
        <f>"Ні"</f>
        <v>Ні</v>
      </c>
    </row>
    <row r="939" spans="1:10" ht="45" x14ac:dyDescent="0.25">
      <c r="A939" s="1" t="str">
        <f>"978-2020/27"</f>
        <v>978-2020/27</v>
      </c>
      <c r="B939" s="1" t="str">
        <f t="shared" si="166"/>
        <v>12.02.2020</v>
      </c>
      <c r="C939" s="1" t="str">
        <f t="shared" si="165"/>
        <v>Закрито</v>
      </c>
      <c r="D939" s="1" t="str">
        <f>"Зняття з реєстрації місця проживання"</f>
        <v>Зняття з реєстрації місця проживання</v>
      </c>
      <c r="E939" s="1" t="str">
        <f>"Реєстрація місця проживання"</f>
        <v>Реєстрація місця проживання</v>
      </c>
      <c r="F939" s="1" t="str">
        <f>"Відділ реєстрації Новокаховської міської ради"</f>
        <v>Відділ реєстрації Новокаховської міської ради</v>
      </c>
      <c r="G939" s="1" t="str">
        <f>"1"</f>
        <v>1</v>
      </c>
      <c r="H939" s="1" t="str">
        <f>"Результат"</f>
        <v>Результат</v>
      </c>
      <c r="I939" s="1" t="str">
        <f>"Позитивний"</f>
        <v>Позитивний</v>
      </c>
      <c r="J939" s="1" t="str">
        <f>"Так"</f>
        <v>Так</v>
      </c>
    </row>
    <row r="940" spans="1:10" ht="45" x14ac:dyDescent="0.25">
      <c r="A940" s="1" t="str">
        <f>"968-2020/27"</f>
        <v>968-2020/27</v>
      </c>
      <c r="B940" s="1" t="str">
        <f t="shared" si="166"/>
        <v>12.02.2020</v>
      </c>
      <c r="C940" s="1" t="str">
        <f t="shared" si="165"/>
        <v>Закрито</v>
      </c>
      <c r="D940" s="1" t="str">
        <f>"Реєстрація місця проживання особи"</f>
        <v>Реєстрація місця проживання особи</v>
      </c>
      <c r="E940" s="1" t="str">
        <f>"Реєстрація місця проживання"</f>
        <v>Реєстрація місця проживання</v>
      </c>
      <c r="F940" s="1" t="str">
        <f>"Відділ реєстрації Новокаховської міської ради"</f>
        <v>Відділ реєстрації Новокаховської міської ради</v>
      </c>
      <c r="G940" s="1" t="str">
        <f>"1"</f>
        <v>1</v>
      </c>
      <c r="H940" s="1" t="str">
        <f>"Результат"</f>
        <v>Результат</v>
      </c>
      <c r="I940" s="1" t="str">
        <f>"Позитивний"</f>
        <v>Позитивний</v>
      </c>
      <c r="J940" s="1" t="str">
        <f>"Так"</f>
        <v>Так</v>
      </c>
    </row>
    <row r="941" spans="1:10" ht="135" x14ac:dyDescent="0.25">
      <c r="A941" s="1" t="str">
        <f>"974-2020/27"</f>
        <v>974-2020/27</v>
      </c>
      <c r="B941" s="1" t="str">
        <f t="shared" si="166"/>
        <v>12.02.2020</v>
      </c>
      <c r="C941" s="1" t="str">
        <f t="shared" si="165"/>
        <v>Закрито</v>
      </c>
      <c r="D94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41" s="1" t="str">
        <f>"Земельні питання"</f>
        <v>Земельні питання</v>
      </c>
      <c r="F9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41" s="1" t="str">
        <f>"14"</f>
        <v>14</v>
      </c>
      <c r="H941" s="1" t="str">
        <f>"Результат"</f>
        <v>Результат</v>
      </c>
      <c r="I941" s="1" t="str">
        <f>"Мотивована відмова"</f>
        <v>Мотивована відмова</v>
      </c>
      <c r="J941" s="1" t="str">
        <f>"Ні"</f>
        <v>Ні</v>
      </c>
    </row>
    <row r="942" spans="1:10" ht="45" x14ac:dyDescent="0.25">
      <c r="A942" s="1" t="str">
        <f>"990-2020/27"</f>
        <v>990-2020/27</v>
      </c>
      <c r="B942" s="1" t="str">
        <f t="shared" si="166"/>
        <v>12.02.2020</v>
      </c>
      <c r="C942" s="1" t="str">
        <f t="shared" si="165"/>
        <v>Закрито</v>
      </c>
      <c r="D942" s="1" t="str">
        <f>"Реєстрація місця проживання особи"</f>
        <v>Реєстрація місця проживання особи</v>
      </c>
      <c r="E942" s="1" t="str">
        <f>"Реєстрація місця проживання"</f>
        <v>Реєстрація місця проживання</v>
      </c>
      <c r="F942" s="1" t="str">
        <f>"Відділ реєстрації Новокаховської міської ради"</f>
        <v>Відділ реєстрації Новокаховської міської ради</v>
      </c>
      <c r="G942" s="1" t="str">
        <f>"1"</f>
        <v>1</v>
      </c>
      <c r="H942" s="1" t="str">
        <f>"Результат"</f>
        <v>Результат</v>
      </c>
      <c r="I942" s="1" t="str">
        <f t="shared" ref="I942:I947" si="167">"Позитивний"</f>
        <v>Позитивний</v>
      </c>
      <c r="J942" s="1" t="str">
        <f>"Так"</f>
        <v>Так</v>
      </c>
    </row>
    <row r="943" spans="1:10" ht="90" x14ac:dyDescent="0.25">
      <c r="A943" s="1" t="str">
        <f>"970-2020/27"</f>
        <v>970-2020/27</v>
      </c>
      <c r="B943" s="1" t="str">
        <f t="shared" si="166"/>
        <v>12.02.2020</v>
      </c>
      <c r="C943" s="1" t="str">
        <f t="shared" si="165"/>
        <v>Закрито</v>
      </c>
      <c r="D94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43" s="1" t="str">
        <f>"Інші послуги"</f>
        <v>Інші послуги</v>
      </c>
      <c r="F94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43" s="1" t="str">
        <f>"5"</f>
        <v>5</v>
      </c>
      <c r="H943" s="1" t="str">
        <f>"Результат"</f>
        <v>Результат</v>
      </c>
      <c r="I943" s="1" t="str">
        <f t="shared" si="167"/>
        <v>Позитивний</v>
      </c>
      <c r="J943" s="1" t="str">
        <f>"Ні"</f>
        <v>Ні</v>
      </c>
    </row>
    <row r="944" spans="1:10" ht="90" x14ac:dyDescent="0.25">
      <c r="A944" s="1" t="str">
        <f>"967-2020/27"</f>
        <v>967-2020/27</v>
      </c>
      <c r="B944" s="1" t="str">
        <f t="shared" si="166"/>
        <v>12.02.2020</v>
      </c>
      <c r="C944" s="1" t="str">
        <f t="shared" si="165"/>
        <v>Закрито</v>
      </c>
      <c r="D9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44" s="1" t="str">
        <f>"Інші послуги"</f>
        <v>Інші послуги</v>
      </c>
      <c r="F9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44" s="1" t="str">
        <f>"5"</f>
        <v>5</v>
      </c>
      <c r="H944" s="1" t="str">
        <f>"Результат"</f>
        <v>Результат</v>
      </c>
      <c r="I944" s="1" t="str">
        <f t="shared" si="167"/>
        <v>Позитивний</v>
      </c>
      <c r="J944" s="1" t="str">
        <f>"Ні"</f>
        <v>Ні</v>
      </c>
    </row>
    <row r="945" spans="1:10" ht="45" x14ac:dyDescent="0.25">
      <c r="A945" s="1" t="str">
        <f>"989-2020/27"</f>
        <v>989-2020/27</v>
      </c>
      <c r="B945" s="1" t="str">
        <f t="shared" si="166"/>
        <v>12.02.2020</v>
      </c>
      <c r="C945" s="1" t="str">
        <f t="shared" si="165"/>
        <v>Закрито</v>
      </c>
      <c r="D945" s="1" t="str">
        <f>"Зняття з реєстрації місця проживання"</f>
        <v>Зняття з реєстрації місця проживання</v>
      </c>
      <c r="E945" s="1" t="str">
        <f>"Реєстрація місця проживання"</f>
        <v>Реєстрація місця проживання</v>
      </c>
      <c r="F945" s="1" t="str">
        <f>"Відділ реєстрації Новокаховської міської ради"</f>
        <v>Відділ реєстрації Новокаховської міської ради</v>
      </c>
      <c r="G945" s="1" t="str">
        <f>"1"</f>
        <v>1</v>
      </c>
      <c r="H945" s="1" t="str">
        <f>"Результат"</f>
        <v>Результат</v>
      </c>
      <c r="I945" s="1" t="str">
        <f t="shared" si="167"/>
        <v>Позитивний</v>
      </c>
      <c r="J945" s="1" t="str">
        <f>"Так"</f>
        <v>Так</v>
      </c>
    </row>
    <row r="946" spans="1:10" ht="45" x14ac:dyDescent="0.25">
      <c r="A946" s="1" t="str">
        <f>"986-2020/27"</f>
        <v>986-2020/27</v>
      </c>
      <c r="B946" s="1" t="str">
        <f t="shared" si="166"/>
        <v>12.02.2020</v>
      </c>
      <c r="C946" s="1" t="str">
        <f t="shared" si="165"/>
        <v>Закрито</v>
      </c>
      <c r="D946" s="1" t="str">
        <f>"Реєстрація місця проживання особи"</f>
        <v>Реєстрація місця проживання особи</v>
      </c>
      <c r="E946" s="1" t="str">
        <f>"Реєстрація місця проживання"</f>
        <v>Реєстрація місця проживання</v>
      </c>
      <c r="F946" s="1" t="str">
        <f>"Відділ реєстрації Новокаховської міської ради"</f>
        <v>Відділ реєстрації Новокаховської міської ради</v>
      </c>
      <c r="G946" s="1" t="str">
        <f>"1"</f>
        <v>1</v>
      </c>
      <c r="H946" s="1" t="str">
        <f>"Результат"</f>
        <v>Результат</v>
      </c>
      <c r="I946" s="1" t="str">
        <f t="shared" si="167"/>
        <v>Позитивний</v>
      </c>
      <c r="J946" s="1" t="str">
        <f>"Так"</f>
        <v>Так</v>
      </c>
    </row>
    <row r="947" spans="1:10" ht="45" x14ac:dyDescent="0.25">
      <c r="A947" s="1" t="str">
        <f>"979-2020/27"</f>
        <v>979-2020/27</v>
      </c>
      <c r="B947" s="1" t="str">
        <f t="shared" si="166"/>
        <v>12.02.2020</v>
      </c>
      <c r="C947" s="1" t="str">
        <f t="shared" si="165"/>
        <v>Закрито</v>
      </c>
      <c r="D947" s="1" t="str">
        <f>"Реєстрація місця проживання особи"</f>
        <v>Реєстрація місця проживання особи</v>
      </c>
      <c r="E947" s="1" t="str">
        <f>"Реєстрація місця проживання"</f>
        <v>Реєстрація місця проживання</v>
      </c>
      <c r="F947" s="1" t="str">
        <f>"Відділ реєстрації Новокаховської міської ради"</f>
        <v>Відділ реєстрації Новокаховської міської ради</v>
      </c>
      <c r="G947" s="1" t="str">
        <f>"1"</f>
        <v>1</v>
      </c>
      <c r="H947" s="1" t="str">
        <f>"Результат"</f>
        <v>Результат</v>
      </c>
      <c r="I947" s="1" t="str">
        <f t="shared" si="167"/>
        <v>Позитивний</v>
      </c>
      <c r="J947" s="1" t="str">
        <f>"Так"</f>
        <v>Так</v>
      </c>
    </row>
    <row r="948" spans="1:10" ht="135" x14ac:dyDescent="0.25">
      <c r="A948" s="1" t="str">
        <f>"972-2020/27"</f>
        <v>972-2020/27</v>
      </c>
      <c r="B948" s="1" t="str">
        <f t="shared" si="166"/>
        <v>12.02.2020</v>
      </c>
      <c r="C948" s="1" t="str">
        <f t="shared" si="165"/>
        <v>Закрито</v>
      </c>
      <c r="D94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48" s="1" t="str">
        <f>"Земельні питання"</f>
        <v>Земельні питання</v>
      </c>
      <c r="F9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48" s="1" t="str">
        <f>"14"</f>
        <v>14</v>
      </c>
      <c r="H948" s="1" t="str">
        <f>"Результат"</f>
        <v>Результат</v>
      </c>
      <c r="I948" s="1" t="str">
        <f>"Мотивована відмова"</f>
        <v>Мотивована відмова</v>
      </c>
      <c r="J948" s="1" t="str">
        <f>"Ні"</f>
        <v>Ні</v>
      </c>
    </row>
    <row r="949" spans="1:10" ht="60" x14ac:dyDescent="0.25">
      <c r="A949" s="1" t="str">
        <f>"964-2020/27"</f>
        <v>964-2020/27</v>
      </c>
      <c r="B949" s="1" t="str">
        <f t="shared" si="166"/>
        <v>12.02.2020</v>
      </c>
      <c r="C949" s="1" t="str">
        <f>"На обробці в адмін. органі"</f>
        <v>На обробці в адмін. органі</v>
      </c>
      <c r="D949" s="1" t="str">
        <f>"Реєстрація місця проживання особи"</f>
        <v>Реєстрація місця проживання особи</v>
      </c>
      <c r="E949" s="1" t="str">
        <f>"Реєстрація місця проживання"</f>
        <v>Реєстрація місця проживання</v>
      </c>
      <c r="F949" s="1" t="str">
        <f>"Відділ реєстрації Новокаховської міської ради"</f>
        <v>Відділ реєстрації Новокаховської міської ради</v>
      </c>
      <c r="G949" s="1" t="str">
        <f>"1"</f>
        <v>1</v>
      </c>
      <c r="H949" s="1" t="str">
        <f>""</f>
        <v/>
      </c>
      <c r="I949" s="1" t="str">
        <f>""</f>
        <v/>
      </c>
      <c r="J949" s="1" t="str">
        <f>"Так"</f>
        <v>Так</v>
      </c>
    </row>
    <row r="950" spans="1:10" ht="225" x14ac:dyDescent="0.25">
      <c r="A950" s="1" t="str">
        <f>"969-2020/27"</f>
        <v>969-2020/27</v>
      </c>
      <c r="B950" s="1" t="str">
        <f t="shared" si="166"/>
        <v>12.02.2020</v>
      </c>
      <c r="C950" s="1" t="str">
        <f>"На обробці в адмін. органі"</f>
        <v>На обробці в адмін. органі</v>
      </c>
      <c r="D950" s="1" t="s">
        <v>1</v>
      </c>
      <c r="E950" s="1" t="str">
        <f>"Будівництво"</f>
        <v>Будівництво</v>
      </c>
      <c r="F95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950" s="1" t="str">
        <f>"30"</f>
        <v>30</v>
      </c>
      <c r="H950" s="1" t="str">
        <f>""</f>
        <v/>
      </c>
      <c r="I950" s="1" t="str">
        <f>""</f>
        <v/>
      </c>
      <c r="J950" s="1" t="str">
        <f>"Ні"</f>
        <v>Ні</v>
      </c>
    </row>
    <row r="951" spans="1:10" ht="45" x14ac:dyDescent="0.25">
      <c r="A951" s="1" t="str">
        <f>"966-2020/27"</f>
        <v>966-2020/27</v>
      </c>
      <c r="B951" s="1" t="str">
        <f t="shared" si="166"/>
        <v>12.02.2020</v>
      </c>
      <c r="C951" s="1" t="str">
        <f t="shared" ref="C951:C963" si="168">"Закрито"</f>
        <v>Закрито</v>
      </c>
      <c r="D951" s="1" t="str">
        <f>"Реєстрація місця проживання особи"</f>
        <v>Реєстрація місця проживання особи</v>
      </c>
      <c r="E951" s="1" t="str">
        <f>"Реєстрація місця проживання"</f>
        <v>Реєстрація місця проживання</v>
      </c>
      <c r="F951" s="1" t="str">
        <f>"Відділ реєстрації Новокаховської міської ради"</f>
        <v>Відділ реєстрації Новокаховської міської ради</v>
      </c>
      <c r="G951" s="1" t="str">
        <f>"1"</f>
        <v>1</v>
      </c>
      <c r="H951" s="1" t="str">
        <f>"Результат"</f>
        <v>Результат</v>
      </c>
      <c r="I951" s="1" t="str">
        <f t="shared" ref="I951:I963" si="169">"Позитивний"</f>
        <v>Позитивний</v>
      </c>
      <c r="J951" s="1" t="str">
        <f>"Так"</f>
        <v>Так</v>
      </c>
    </row>
    <row r="952" spans="1:10" ht="45" x14ac:dyDescent="0.25">
      <c r="A952" s="1" t="str">
        <f>"965-2020/27"</f>
        <v>965-2020/27</v>
      </c>
      <c r="B952" s="1" t="str">
        <f t="shared" si="166"/>
        <v>12.02.2020</v>
      </c>
      <c r="C952" s="1" t="str">
        <f t="shared" si="168"/>
        <v>Закрито</v>
      </c>
      <c r="D952" s="1" t="str">
        <f>"Реєстрація місця проживання особи"</f>
        <v>Реєстрація місця проживання особи</v>
      </c>
      <c r="E952" s="1" t="str">
        <f>"Реєстрація місця проживання"</f>
        <v>Реєстрація місця проживання</v>
      </c>
      <c r="F952" s="1" t="str">
        <f>"Відділ реєстрації Новокаховської міської ради"</f>
        <v>Відділ реєстрації Новокаховської міської ради</v>
      </c>
      <c r="G952" s="1" t="str">
        <f>"1"</f>
        <v>1</v>
      </c>
      <c r="H952" s="1" t="str">
        <f>"Результат"</f>
        <v>Результат</v>
      </c>
      <c r="I952" s="1" t="str">
        <f t="shared" si="169"/>
        <v>Позитивний</v>
      </c>
      <c r="J952" s="1" t="str">
        <f>"Так"</f>
        <v>Так</v>
      </c>
    </row>
    <row r="953" spans="1:10" ht="135" x14ac:dyDescent="0.25">
      <c r="A953" s="1" t="str">
        <f>"975-2020/27"</f>
        <v>975-2020/27</v>
      </c>
      <c r="B953" s="1" t="str">
        <f t="shared" si="166"/>
        <v>12.02.2020</v>
      </c>
      <c r="C953" s="1" t="str">
        <f t="shared" si="168"/>
        <v>Закрито</v>
      </c>
      <c r="D95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53" s="1" t="str">
        <f>"Державна реєстрація громадських об’єднань"</f>
        <v>Державна реєстрація громадських об’єднань</v>
      </c>
      <c r="F9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53" s="1" t="str">
        <f>"14"</f>
        <v>14</v>
      </c>
      <c r="H953" s="1" t="str">
        <f>"Результат"</f>
        <v>Результат</v>
      </c>
      <c r="I953" s="1" t="str">
        <f t="shared" si="169"/>
        <v>Позитивний</v>
      </c>
      <c r="J953" s="1" t="str">
        <f>"Ні"</f>
        <v>Ні</v>
      </c>
    </row>
    <row r="954" spans="1:10" ht="90" x14ac:dyDescent="0.25">
      <c r="A954" s="1" t="str">
        <f>"981-2020/27"</f>
        <v>981-2020/27</v>
      </c>
      <c r="B954" s="1" t="str">
        <f t="shared" si="166"/>
        <v>12.02.2020</v>
      </c>
      <c r="C954" s="1" t="str">
        <f t="shared" si="168"/>
        <v>Закрито</v>
      </c>
      <c r="D95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54" s="1" t="str">
        <f>"Інші послуги"</f>
        <v>Інші послуги</v>
      </c>
      <c r="F95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54" s="1" t="str">
        <f>"5"</f>
        <v>5</v>
      </c>
      <c r="H954" s="1" t="str">
        <f>"Результат"</f>
        <v>Результат</v>
      </c>
      <c r="I954" s="1" t="str">
        <f t="shared" si="169"/>
        <v>Позитивний</v>
      </c>
      <c r="J954" s="1" t="str">
        <f>"Ні"</f>
        <v>Ні</v>
      </c>
    </row>
    <row r="955" spans="1:10" ht="45" x14ac:dyDescent="0.25">
      <c r="A955" s="1" t="str">
        <f>"987-2020/27"</f>
        <v>987-2020/27</v>
      </c>
      <c r="B955" s="1" t="str">
        <f t="shared" si="166"/>
        <v>12.02.2020</v>
      </c>
      <c r="C955" s="1" t="str">
        <f t="shared" si="168"/>
        <v>Закрито</v>
      </c>
      <c r="D955" s="1" t="str">
        <f>"Реєстрація місця проживання особи"</f>
        <v>Реєстрація місця проживання особи</v>
      </c>
      <c r="E955" s="1" t="str">
        <f>"Реєстрація місця проживання"</f>
        <v>Реєстрація місця проживання</v>
      </c>
      <c r="F955" s="1" t="str">
        <f>"Відділ реєстрації Новокаховської міської ради"</f>
        <v>Відділ реєстрації Новокаховської міської ради</v>
      </c>
      <c r="G955" s="1" t="str">
        <f t="shared" ref="G955:G960" si="170">"1"</f>
        <v>1</v>
      </c>
      <c r="H955" s="1" t="str">
        <f>"Результат"</f>
        <v>Результат</v>
      </c>
      <c r="I955" s="1" t="str">
        <f t="shared" si="169"/>
        <v>Позитивний</v>
      </c>
      <c r="J955" s="1" t="str">
        <f t="shared" ref="J955:J960" si="171">"Так"</f>
        <v>Так</v>
      </c>
    </row>
    <row r="956" spans="1:10" ht="105" x14ac:dyDescent="0.25">
      <c r="A956" s="1" t="str">
        <f>"993-2020/27"</f>
        <v>993-2020/27</v>
      </c>
      <c r="B956" s="1" t="str">
        <f t="shared" si="166"/>
        <v>12.02.2020</v>
      </c>
      <c r="C956" s="1" t="str">
        <f t="shared" si="168"/>
        <v>Закрито</v>
      </c>
      <c r="D95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56" s="1" t="str">
        <f>"Земельні питання"</f>
        <v>Земельні питання</v>
      </c>
      <c r="F95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956" s="1" t="str">
        <f t="shared" si="170"/>
        <v>1</v>
      </c>
      <c r="H956" s="1" t="str">
        <f>"Результат"</f>
        <v>Результат</v>
      </c>
      <c r="I956" s="1" t="str">
        <f t="shared" si="169"/>
        <v>Позитивний</v>
      </c>
      <c r="J956" s="1" t="str">
        <f t="shared" si="171"/>
        <v>Так</v>
      </c>
    </row>
    <row r="957" spans="1:10" ht="45" x14ac:dyDescent="0.25">
      <c r="A957" s="1" t="str">
        <f>"973-2020/27"</f>
        <v>973-2020/27</v>
      </c>
      <c r="B957" s="1" t="str">
        <f t="shared" si="166"/>
        <v>12.02.2020</v>
      </c>
      <c r="C957" s="1" t="str">
        <f t="shared" si="168"/>
        <v>Закрито</v>
      </c>
      <c r="D957" s="1" t="str">
        <f>"Зняття з реєстрації місця проживання"</f>
        <v>Зняття з реєстрації місця проживання</v>
      </c>
      <c r="E957" s="1" t="str">
        <f>"Реєстрація місця проживання"</f>
        <v>Реєстрація місця проживання</v>
      </c>
      <c r="F957" s="1" t="str">
        <f>"Відділ реєстрації Новокаховської міської ради"</f>
        <v>Відділ реєстрації Новокаховської міської ради</v>
      </c>
      <c r="G957" s="1" t="str">
        <f t="shared" si="170"/>
        <v>1</v>
      </c>
      <c r="H957" s="1" t="str">
        <f>"Результат"</f>
        <v>Результат</v>
      </c>
      <c r="I957" s="1" t="str">
        <f t="shared" si="169"/>
        <v>Позитивний</v>
      </c>
      <c r="J957" s="1" t="str">
        <f t="shared" si="171"/>
        <v>Так</v>
      </c>
    </row>
    <row r="958" spans="1:10" ht="45" x14ac:dyDescent="0.25">
      <c r="A958" s="1" t="str">
        <f>"960-2020/27"</f>
        <v>960-2020/27</v>
      </c>
      <c r="B958" s="1" t="str">
        <f t="shared" si="166"/>
        <v>12.02.2020</v>
      </c>
      <c r="C958" s="1" t="str">
        <f t="shared" si="168"/>
        <v>Закрито</v>
      </c>
      <c r="D958" s="1" t="str">
        <f>"Зняття з реєстрації місця проживання"</f>
        <v>Зняття з реєстрації місця проживання</v>
      </c>
      <c r="E958" s="1" t="str">
        <f>"Реєстрація місця проживання"</f>
        <v>Реєстрація місця проживання</v>
      </c>
      <c r="F958" s="1" t="str">
        <f>"Відділ реєстрації Новокаховської міської ради"</f>
        <v>Відділ реєстрації Новокаховської міської ради</v>
      </c>
      <c r="G958" s="1" t="str">
        <f t="shared" si="170"/>
        <v>1</v>
      </c>
      <c r="H958" s="1" t="str">
        <f>"Результат"</f>
        <v>Результат</v>
      </c>
      <c r="I958" s="1" t="str">
        <f t="shared" si="169"/>
        <v>Позитивний</v>
      </c>
      <c r="J958" s="1" t="str">
        <f t="shared" si="171"/>
        <v>Так</v>
      </c>
    </row>
    <row r="959" spans="1:10" ht="105" x14ac:dyDescent="0.25">
      <c r="A959" s="1" t="str">
        <f>"988-2020/27"</f>
        <v>988-2020/27</v>
      </c>
      <c r="B959" s="1" t="str">
        <f t="shared" si="166"/>
        <v>12.02.2020</v>
      </c>
      <c r="C959" s="1" t="str">
        <f t="shared" si="168"/>
        <v>Закрито</v>
      </c>
      <c r="D9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59" s="1" t="str">
        <f>"Земельні питання"</f>
        <v>Земельні питання</v>
      </c>
      <c r="F95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959" s="1" t="str">
        <f t="shared" si="170"/>
        <v>1</v>
      </c>
      <c r="H959" s="1" t="str">
        <f>"Результат"</f>
        <v>Результат</v>
      </c>
      <c r="I959" s="1" t="str">
        <f t="shared" si="169"/>
        <v>Позитивний</v>
      </c>
      <c r="J959" s="1" t="str">
        <f t="shared" si="171"/>
        <v>Так</v>
      </c>
    </row>
    <row r="960" spans="1:10" ht="45" x14ac:dyDescent="0.25">
      <c r="A960" s="1" t="str">
        <f>"985-2020/27"</f>
        <v>985-2020/27</v>
      </c>
      <c r="B960" s="1" t="str">
        <f t="shared" si="166"/>
        <v>12.02.2020</v>
      </c>
      <c r="C960" s="1" t="str">
        <f t="shared" si="168"/>
        <v>Закрито</v>
      </c>
      <c r="D960" s="1" t="str">
        <f>"Реєстрація місця проживання особи"</f>
        <v>Реєстрація місця проживання особи</v>
      </c>
      <c r="E960" s="1" t="str">
        <f>"Реєстрація місця проживання"</f>
        <v>Реєстрація місця проживання</v>
      </c>
      <c r="F960" s="1" t="str">
        <f>"Відділ реєстрації Новокаховської міської ради"</f>
        <v>Відділ реєстрації Новокаховської міської ради</v>
      </c>
      <c r="G960" s="1" t="str">
        <f t="shared" si="170"/>
        <v>1</v>
      </c>
      <c r="H960" s="1" t="str">
        <f>"Результат"</f>
        <v>Результат</v>
      </c>
      <c r="I960" s="1" t="str">
        <f t="shared" si="169"/>
        <v>Позитивний</v>
      </c>
      <c r="J960" s="1" t="str">
        <f t="shared" si="171"/>
        <v>Так</v>
      </c>
    </row>
    <row r="961" spans="1:10" ht="135" x14ac:dyDescent="0.25">
      <c r="A961" s="1" t="str">
        <f>"980-2020/27"</f>
        <v>980-2020/27</v>
      </c>
      <c r="B961" s="1" t="str">
        <f t="shared" si="166"/>
        <v>12.02.2020</v>
      </c>
      <c r="C961" s="1" t="str">
        <f t="shared" si="168"/>
        <v>Закрито</v>
      </c>
      <c r="D96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961" s="1" t="str">
        <f>"Земельні питання"</f>
        <v>Земельні питання</v>
      </c>
      <c r="F9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61" s="1" t="str">
        <f>"14"</f>
        <v>14</v>
      </c>
      <c r="H961" s="1" t="str">
        <f>"Результат"</f>
        <v>Результат</v>
      </c>
      <c r="I961" s="1" t="str">
        <f t="shared" si="169"/>
        <v>Позитивний</v>
      </c>
      <c r="J961" s="1" t="str">
        <f>"Ні"</f>
        <v>Ні</v>
      </c>
    </row>
    <row r="962" spans="1:10" ht="45" x14ac:dyDescent="0.25">
      <c r="A962" s="1" t="str">
        <f>"971-2020/27"</f>
        <v>971-2020/27</v>
      </c>
      <c r="B962" s="1" t="str">
        <f t="shared" si="166"/>
        <v>12.02.2020</v>
      </c>
      <c r="C962" s="1" t="str">
        <f t="shared" si="168"/>
        <v>Закрито</v>
      </c>
      <c r="D962" s="1" t="str">
        <f>"Зняття з реєстрації місця проживання"</f>
        <v>Зняття з реєстрації місця проживання</v>
      </c>
      <c r="E962" s="1" t="str">
        <f>"Реєстрація місця проживання"</f>
        <v>Реєстрація місця проживання</v>
      </c>
      <c r="F962" s="1" t="str">
        <f>"Відділ реєстрації Новокаховської міської ради"</f>
        <v>Відділ реєстрації Новокаховської міської ради</v>
      </c>
      <c r="G962" s="1" t="str">
        <f>"1"</f>
        <v>1</v>
      </c>
      <c r="H962" s="1" t="str">
        <f>"Результат"</f>
        <v>Результат</v>
      </c>
      <c r="I962" s="1" t="str">
        <f t="shared" si="169"/>
        <v>Позитивний</v>
      </c>
      <c r="J962" s="1" t="str">
        <f>"Так"</f>
        <v>Так</v>
      </c>
    </row>
    <row r="963" spans="1:10" ht="135" x14ac:dyDescent="0.25">
      <c r="A963" s="1" t="str">
        <f>"992-2020/27"</f>
        <v>992-2020/27</v>
      </c>
      <c r="B963" s="1" t="str">
        <f t="shared" si="166"/>
        <v>12.02.2020</v>
      </c>
      <c r="C963" s="1" t="str">
        <f t="shared" si="168"/>
        <v>Закрито</v>
      </c>
      <c r="D96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63" s="1" t="str">
        <f>"Земельні питання"</f>
        <v>Земельні питання</v>
      </c>
      <c r="F9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63" s="1" t="str">
        <f>"3"</f>
        <v>3</v>
      </c>
      <c r="H963" s="1" t="str">
        <f>"Результат"</f>
        <v>Результат</v>
      </c>
      <c r="I963" s="1" t="str">
        <f t="shared" si="169"/>
        <v>Позитивний</v>
      </c>
      <c r="J963" s="1" t="str">
        <f>"Ні"</f>
        <v>Ні</v>
      </c>
    </row>
    <row r="964" spans="1:10" ht="225" x14ac:dyDescent="0.25">
      <c r="A964" s="1" t="str">
        <f>"961-2020/27"</f>
        <v>961-2020/27</v>
      </c>
      <c r="B964" s="1" t="str">
        <f t="shared" si="166"/>
        <v>12.02.2020</v>
      </c>
      <c r="C964" s="1" t="str">
        <f>"На обробці в адмін. органі"</f>
        <v>На обробці в адмін. органі</v>
      </c>
      <c r="D964" s="1" t="s">
        <v>1</v>
      </c>
      <c r="E964" s="1" t="str">
        <f>"Будівництво"</f>
        <v>Будівництво</v>
      </c>
      <c r="F96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964" s="1" t="str">
        <f>"30"</f>
        <v>30</v>
      </c>
      <c r="H964" s="1" t="str">
        <f>""</f>
        <v/>
      </c>
      <c r="I964" s="1" t="str">
        <f>""</f>
        <v/>
      </c>
      <c r="J964" s="1" t="str">
        <f>"Ні"</f>
        <v>Ні</v>
      </c>
    </row>
    <row r="965" spans="1:10" ht="135" x14ac:dyDescent="0.25">
      <c r="A965" s="1" t="str">
        <f>"977-2020/27"</f>
        <v>977-2020/27</v>
      </c>
      <c r="B965" s="1" t="str">
        <f t="shared" si="166"/>
        <v>12.02.2020</v>
      </c>
      <c r="C965" s="1" t="str">
        <f t="shared" ref="C965:C987" si="172">"Закрито"</f>
        <v>Закрито</v>
      </c>
      <c r="D96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65" s="1" t="str">
        <f>"Земельні питання"</f>
        <v>Земельні питання</v>
      </c>
      <c r="F9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65" s="1" t="str">
        <f>"14"</f>
        <v>14</v>
      </c>
      <c r="H965" s="1" t="str">
        <f>"Результат"</f>
        <v>Результат</v>
      </c>
      <c r="I965" s="1" t="str">
        <f>"Мотивована відмова"</f>
        <v>Мотивована відмова</v>
      </c>
      <c r="J965" s="1" t="str">
        <f>"Ні"</f>
        <v>Ні</v>
      </c>
    </row>
    <row r="966" spans="1:10" ht="45" x14ac:dyDescent="0.25">
      <c r="A966" s="1" t="str">
        <f>"976-2020/27"</f>
        <v>976-2020/27</v>
      </c>
      <c r="B966" s="1" t="str">
        <f t="shared" si="166"/>
        <v>12.02.2020</v>
      </c>
      <c r="C966" s="1" t="str">
        <f t="shared" si="172"/>
        <v>Закрито</v>
      </c>
      <c r="D966" s="1" t="str">
        <f>"Зняття з реєстрації місця проживання"</f>
        <v>Зняття з реєстрації місця проживання</v>
      </c>
      <c r="E966" s="1" t="str">
        <f>"Реєстрація місця проживання"</f>
        <v>Реєстрація місця проживання</v>
      </c>
      <c r="F966" s="1" t="str">
        <f>"Відділ реєстрації Новокаховської міської ради"</f>
        <v>Відділ реєстрації Новокаховської міської ради</v>
      </c>
      <c r="G966" s="1" t="str">
        <f>"1"</f>
        <v>1</v>
      </c>
      <c r="H966" s="1" t="str">
        <f>"Результат"</f>
        <v>Результат</v>
      </c>
      <c r="I966" s="1" t="str">
        <f>"Позитивний"</f>
        <v>Позитивний</v>
      </c>
      <c r="J966" s="1" t="str">
        <f>"Так"</f>
        <v>Так</v>
      </c>
    </row>
    <row r="967" spans="1:10" ht="45" x14ac:dyDescent="0.25">
      <c r="A967" s="1" t="str">
        <f>"963-2020/27"</f>
        <v>963-2020/27</v>
      </c>
      <c r="B967" s="1" t="str">
        <f t="shared" si="166"/>
        <v>12.02.2020</v>
      </c>
      <c r="C967" s="1" t="str">
        <f t="shared" si="172"/>
        <v>Закрито</v>
      </c>
      <c r="D967" s="1" t="str">
        <f>"Реєстрація місця проживання особи"</f>
        <v>Реєстрація місця проживання особи</v>
      </c>
      <c r="E967" s="1" t="str">
        <f>"Реєстрація місця проживання"</f>
        <v>Реєстрація місця проживання</v>
      </c>
      <c r="F967" s="1" t="str">
        <f>"Відділ реєстрації Новокаховської міської ради"</f>
        <v>Відділ реєстрації Новокаховської міської ради</v>
      </c>
      <c r="G967" s="1" t="str">
        <f>"1"</f>
        <v>1</v>
      </c>
      <c r="H967" s="1" t="str">
        <f>"Результат"</f>
        <v>Результат</v>
      </c>
      <c r="I967" s="1" t="str">
        <f>"Позитивний"</f>
        <v>Позитивний</v>
      </c>
      <c r="J967" s="1" t="str">
        <f>"Так"</f>
        <v>Так</v>
      </c>
    </row>
    <row r="968" spans="1:10" ht="90" x14ac:dyDescent="0.25">
      <c r="A968" s="1" t="str">
        <f>"1010-2020/27"</f>
        <v>1010-2020/27</v>
      </c>
      <c r="B968" s="1" t="str">
        <f t="shared" ref="B968:B985" si="173">"13.02.2020"</f>
        <v>13.02.2020</v>
      </c>
      <c r="C968" s="1" t="str">
        <f t="shared" si="172"/>
        <v>Закрито</v>
      </c>
      <c r="D96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68" s="1" t="str">
        <f>"Інші послуги"</f>
        <v>Інші послуги</v>
      </c>
      <c r="F96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68" s="1" t="str">
        <f>"5"</f>
        <v>5</v>
      </c>
      <c r="H968" s="1" t="str">
        <f>"Результат"</f>
        <v>Результат</v>
      </c>
      <c r="I968" s="1" t="str">
        <f>"Позитивний"</f>
        <v>Позитивний</v>
      </c>
      <c r="J968" s="1" t="str">
        <f>"Ні"</f>
        <v>Ні</v>
      </c>
    </row>
    <row r="969" spans="1:10" ht="135" x14ac:dyDescent="0.25">
      <c r="A969" s="1" t="str">
        <f>"1007-2020/27"</f>
        <v>1007-2020/27</v>
      </c>
      <c r="B969" s="1" t="str">
        <f t="shared" si="173"/>
        <v>13.02.2020</v>
      </c>
      <c r="C969" s="1" t="str">
        <f t="shared" si="172"/>
        <v>Закрито</v>
      </c>
      <c r="D969" s="1" t="str">
        <f>"Реєстрація декларації про готовність об’єкта до експлуатації (щодо самочинно збудованого нерухомого майна, на яке визнано право власності за рішенням суду)"</f>
        <v>Реєстрація декларації про готовність об’єкта до експлуатації (щодо самочинно збудованого нерухомого майна, на яке визнано право власності за рішенням суду)</v>
      </c>
      <c r="E969" s="1" t="str">
        <f>"Будівництво"</f>
        <v>Будівництво</v>
      </c>
      <c r="F96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969" s="1" t="str">
        <f>"10"</f>
        <v>10</v>
      </c>
      <c r="H969" s="1" t="str">
        <f>"Результат"</f>
        <v>Результат</v>
      </c>
      <c r="I969" s="1" t="str">
        <f>"Позитивний"</f>
        <v>Позитивний</v>
      </c>
      <c r="J969" s="1" t="str">
        <f>"Ні"</f>
        <v>Ні</v>
      </c>
    </row>
    <row r="970" spans="1:10" ht="135" x14ac:dyDescent="0.25">
      <c r="A970" s="1" t="str">
        <f>"1011-2020/27"</f>
        <v>1011-2020/27</v>
      </c>
      <c r="B970" s="1" t="str">
        <f t="shared" si="173"/>
        <v>13.02.2020</v>
      </c>
      <c r="C970" s="1" t="str">
        <f t="shared" si="172"/>
        <v>Закрито</v>
      </c>
      <c r="D97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70" s="1" t="str">
        <f>"Земельні питання"</f>
        <v>Земельні питання</v>
      </c>
      <c r="F9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70" s="1" t="str">
        <f>"14"</f>
        <v>14</v>
      </c>
      <c r="H970" s="1" t="str">
        <f>"Результат"</f>
        <v>Результат</v>
      </c>
      <c r="I970" s="1" t="str">
        <f>"Позитивний"</f>
        <v>Позитивний</v>
      </c>
      <c r="J970" s="1" t="str">
        <f>"Ні"</f>
        <v>Ні</v>
      </c>
    </row>
    <row r="971" spans="1:10" ht="45" x14ac:dyDescent="0.25">
      <c r="A971" s="1" t="str">
        <f>"999-2020/27"</f>
        <v>999-2020/27</v>
      </c>
      <c r="B971" s="1" t="str">
        <f t="shared" si="173"/>
        <v>13.02.2020</v>
      </c>
      <c r="C971" s="1" t="str">
        <f t="shared" si="172"/>
        <v>Закрито</v>
      </c>
      <c r="D971" s="1" t="str">
        <f>"Реєстрація місця проживання особи"</f>
        <v>Реєстрація місця проживання особи</v>
      </c>
      <c r="E971" s="1" t="str">
        <f>"Реєстрація місця проживання"</f>
        <v>Реєстрація місця проживання</v>
      </c>
      <c r="F971" s="1" t="str">
        <f>"Відділ реєстрації Новокаховської міської ради"</f>
        <v>Відділ реєстрації Новокаховської міської ради</v>
      </c>
      <c r="G971" s="1" t="str">
        <f>"1"</f>
        <v>1</v>
      </c>
      <c r="H971" s="1" t="str">
        <f>"Результат"</f>
        <v>Результат</v>
      </c>
      <c r="I971" s="1" t="str">
        <f>"Мотивована відмова"</f>
        <v>Мотивована відмова</v>
      </c>
      <c r="J971" s="1" t="str">
        <f>"Так"</f>
        <v>Так</v>
      </c>
    </row>
    <row r="972" spans="1:10" ht="135" x14ac:dyDescent="0.25">
      <c r="A972" s="1" t="str">
        <f>"1009-2020/27"</f>
        <v>1009-2020/27</v>
      </c>
      <c r="B972" s="1" t="str">
        <f t="shared" si="173"/>
        <v>13.02.2020</v>
      </c>
      <c r="C972" s="1" t="str">
        <f t="shared" si="172"/>
        <v>Закрито</v>
      </c>
      <c r="D97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72" s="1" t="str">
        <f>"Земельні питання"</f>
        <v>Земельні питання</v>
      </c>
      <c r="F9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72" s="1" t="str">
        <f>"1"</f>
        <v>1</v>
      </c>
      <c r="H972" s="1" t="str">
        <f>"Результат"</f>
        <v>Результат</v>
      </c>
      <c r="I972" s="1" t="str">
        <f>"Позитивний"</f>
        <v>Позитивний</v>
      </c>
      <c r="J972" s="1" t="str">
        <f>"Так"</f>
        <v>Так</v>
      </c>
    </row>
    <row r="973" spans="1:10" ht="135" x14ac:dyDescent="0.25">
      <c r="A973" s="1" t="str">
        <f>"997-2020/27"</f>
        <v>997-2020/27</v>
      </c>
      <c r="B973" s="1" t="str">
        <f t="shared" si="173"/>
        <v>13.02.2020</v>
      </c>
      <c r="C973" s="1" t="str">
        <f t="shared" si="172"/>
        <v>Закрито</v>
      </c>
      <c r="D97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73" s="1" t="str">
        <f>"Земельні питання"</f>
        <v>Земельні питання</v>
      </c>
      <c r="F9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73" s="1" t="str">
        <f>"3"</f>
        <v>3</v>
      </c>
      <c r="H973" s="1" t="str">
        <f>"Результат"</f>
        <v>Результат</v>
      </c>
      <c r="I973" s="1" t="str">
        <f>"Мотивована відмова"</f>
        <v>Мотивована відмова</v>
      </c>
      <c r="J973" s="1" t="str">
        <f>"Ні"</f>
        <v>Ні</v>
      </c>
    </row>
    <row r="974" spans="1:10" ht="45" x14ac:dyDescent="0.25">
      <c r="A974" s="1" t="str">
        <f>"1000-2020/27"</f>
        <v>1000-2020/27</v>
      </c>
      <c r="B974" s="1" t="str">
        <f t="shared" si="173"/>
        <v>13.02.2020</v>
      </c>
      <c r="C974" s="1" t="str">
        <f t="shared" si="172"/>
        <v>Закрито</v>
      </c>
      <c r="D974" s="1" t="str">
        <f>"Зняття з реєстрації місця проживання"</f>
        <v>Зняття з реєстрації місця проживання</v>
      </c>
      <c r="E974" s="1" t="str">
        <f>"Реєстрація місця проживання"</f>
        <v>Реєстрація місця проживання</v>
      </c>
      <c r="F974" s="1" t="str">
        <f>"Відділ реєстрації Новокаховської міської ради"</f>
        <v>Відділ реєстрації Новокаховської міської ради</v>
      </c>
      <c r="G974" s="1" t="str">
        <f>"1"</f>
        <v>1</v>
      </c>
      <c r="H974" s="1" t="str">
        <f>"Результат"</f>
        <v>Результат</v>
      </c>
      <c r="I974" s="1" t="str">
        <f>"Позитивний"</f>
        <v>Позитивний</v>
      </c>
      <c r="J974" s="1" t="str">
        <f>"Так"</f>
        <v>Так</v>
      </c>
    </row>
    <row r="975" spans="1:10" ht="45" x14ac:dyDescent="0.25">
      <c r="A975" s="1" t="str">
        <f>"996-2020/27"</f>
        <v>996-2020/27</v>
      </c>
      <c r="B975" s="1" t="str">
        <f t="shared" si="173"/>
        <v>13.02.2020</v>
      </c>
      <c r="C975" s="1" t="str">
        <f t="shared" si="172"/>
        <v>Закрито</v>
      </c>
      <c r="D975" s="1" t="str">
        <f>"Реєстрація місця проживання особи"</f>
        <v>Реєстрація місця проживання особи</v>
      </c>
      <c r="E975" s="1" t="str">
        <f>"Реєстрація місця проживання"</f>
        <v>Реєстрація місця проживання</v>
      </c>
      <c r="F975" s="1" t="str">
        <f>"Відділ реєстрації Новокаховської міської ради"</f>
        <v>Відділ реєстрації Новокаховської міської ради</v>
      </c>
      <c r="G975" s="1" t="str">
        <f>"1"</f>
        <v>1</v>
      </c>
      <c r="H975" s="1" t="str">
        <f>"Результат"</f>
        <v>Результат</v>
      </c>
      <c r="I975" s="1" t="str">
        <f>"Позитивний"</f>
        <v>Позитивний</v>
      </c>
      <c r="J975" s="1" t="str">
        <f>"Так"</f>
        <v>Так</v>
      </c>
    </row>
    <row r="976" spans="1:10" ht="90" x14ac:dyDescent="0.25">
      <c r="A976" s="1" t="str">
        <f>"1002-2020/27"</f>
        <v>1002-2020/27</v>
      </c>
      <c r="B976" s="1" t="str">
        <f t="shared" si="173"/>
        <v>13.02.2020</v>
      </c>
      <c r="C976" s="1" t="str">
        <f t="shared" si="172"/>
        <v>Закрито</v>
      </c>
      <c r="D97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76" s="1" t="str">
        <f>"Інші послуги"</f>
        <v>Інші послуги</v>
      </c>
      <c r="F97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76" s="1" t="str">
        <f>"5"</f>
        <v>5</v>
      </c>
      <c r="H976" s="1" t="str">
        <f>"Результат"</f>
        <v>Результат</v>
      </c>
      <c r="I976" s="1" t="str">
        <f>"Позитивний"</f>
        <v>Позитивний</v>
      </c>
      <c r="J976" s="1" t="str">
        <f>"Ні"</f>
        <v>Ні</v>
      </c>
    </row>
    <row r="977" spans="1:10" ht="45" x14ac:dyDescent="0.25">
      <c r="A977" s="1" t="str">
        <f>"1005-2020/27"</f>
        <v>1005-2020/27</v>
      </c>
      <c r="B977" s="1" t="str">
        <f t="shared" si="173"/>
        <v>13.02.2020</v>
      </c>
      <c r="C977" s="1" t="str">
        <f t="shared" si="172"/>
        <v>Закрито</v>
      </c>
      <c r="D977" s="1" t="str">
        <f>"Реєстрація місця проживання особи"</f>
        <v>Реєстрація місця проживання особи</v>
      </c>
      <c r="E977" s="1" t="str">
        <f>"Реєстрація місця проживання"</f>
        <v>Реєстрація місця проживання</v>
      </c>
      <c r="F977" s="1" t="str">
        <f>"Відділ реєстрації Новокаховської міської ради"</f>
        <v>Відділ реєстрації Новокаховської міської ради</v>
      </c>
      <c r="G977" s="1" t="str">
        <f t="shared" ref="G977:G984" si="174">"1"</f>
        <v>1</v>
      </c>
      <c r="H977" s="1" t="str">
        <f>"Результат"</f>
        <v>Результат</v>
      </c>
      <c r="I977" s="1" t="str">
        <f>"Позитивний"</f>
        <v>Позитивний</v>
      </c>
      <c r="J977" s="1" t="str">
        <f t="shared" ref="J977:J984" si="175">"Так"</f>
        <v>Так</v>
      </c>
    </row>
    <row r="978" spans="1:10" ht="45" x14ac:dyDescent="0.25">
      <c r="A978" s="1" t="str">
        <f>"998-2020/27"</f>
        <v>998-2020/27</v>
      </c>
      <c r="B978" s="1" t="str">
        <f t="shared" si="173"/>
        <v>13.02.2020</v>
      </c>
      <c r="C978" s="1" t="str">
        <f t="shared" si="172"/>
        <v>Закрито</v>
      </c>
      <c r="D978" s="1" t="str">
        <f>"Реєстрація місця проживання особи"</f>
        <v>Реєстрація місця проживання особи</v>
      </c>
      <c r="E978" s="1" t="str">
        <f>"Реєстрація місця проживання"</f>
        <v>Реєстрація місця проживання</v>
      </c>
      <c r="F978" s="1" t="str">
        <f>"Відділ реєстрації Новокаховської міської ради"</f>
        <v>Відділ реєстрації Новокаховської міської ради</v>
      </c>
      <c r="G978" s="1" t="str">
        <f t="shared" si="174"/>
        <v>1</v>
      </c>
      <c r="H978" s="1" t="str">
        <f>"Результат"</f>
        <v>Результат</v>
      </c>
      <c r="I978" s="1" t="str">
        <f>"Мотивована відмова"</f>
        <v>Мотивована відмова</v>
      </c>
      <c r="J978" s="1" t="str">
        <f t="shared" si="175"/>
        <v>Так</v>
      </c>
    </row>
    <row r="979" spans="1:10" ht="45" x14ac:dyDescent="0.25">
      <c r="A979" s="1" t="str">
        <f>"1004-2020/27"</f>
        <v>1004-2020/27</v>
      </c>
      <c r="B979" s="1" t="str">
        <f t="shared" si="173"/>
        <v>13.02.2020</v>
      </c>
      <c r="C979" s="1" t="str">
        <f t="shared" si="172"/>
        <v>Закрито</v>
      </c>
      <c r="D979" s="1" t="str">
        <f>"Реєстрація місця проживання особи"</f>
        <v>Реєстрація місця проживання особи</v>
      </c>
      <c r="E979" s="1" t="str">
        <f>"Реєстрація місця проживання"</f>
        <v>Реєстрація місця проживання</v>
      </c>
      <c r="F979" s="1" t="str">
        <f>"Відділ реєстрації Новокаховської міської ради"</f>
        <v>Відділ реєстрації Новокаховської міської ради</v>
      </c>
      <c r="G979" s="1" t="str">
        <f t="shared" si="174"/>
        <v>1</v>
      </c>
      <c r="H979" s="1" t="str">
        <f>"Результат"</f>
        <v>Результат</v>
      </c>
      <c r="I979" s="1" t="str">
        <f t="shared" ref="I979:I1021" si="176">"Позитивний"</f>
        <v>Позитивний</v>
      </c>
      <c r="J979" s="1" t="str">
        <f t="shared" si="175"/>
        <v>Так</v>
      </c>
    </row>
    <row r="980" spans="1:10" ht="45" x14ac:dyDescent="0.25">
      <c r="A980" s="1" t="str">
        <f>"995-2020/27"</f>
        <v>995-2020/27</v>
      </c>
      <c r="B980" s="1" t="str">
        <f t="shared" si="173"/>
        <v>13.02.2020</v>
      </c>
      <c r="C980" s="1" t="str">
        <f t="shared" si="172"/>
        <v>Закрито</v>
      </c>
      <c r="D980" s="1" t="str">
        <f>"Реєстрація місця проживання особи"</f>
        <v>Реєстрація місця проживання особи</v>
      </c>
      <c r="E980" s="1" t="str">
        <f>"Реєстрація місця проживання"</f>
        <v>Реєстрація місця проживання</v>
      </c>
      <c r="F980" s="1" t="str">
        <f>"Відділ реєстрації Новокаховської міської ради"</f>
        <v>Відділ реєстрації Новокаховської міської ради</v>
      </c>
      <c r="G980" s="1" t="str">
        <f t="shared" si="174"/>
        <v>1</v>
      </c>
      <c r="H980" s="1" t="str">
        <f>"Результат"</f>
        <v>Результат</v>
      </c>
      <c r="I980" s="1" t="str">
        <f t="shared" si="176"/>
        <v>Позитивний</v>
      </c>
      <c r="J980" s="1" t="str">
        <f t="shared" si="175"/>
        <v>Так</v>
      </c>
    </row>
    <row r="981" spans="1:10" ht="45" x14ac:dyDescent="0.25">
      <c r="A981" s="1" t="str">
        <f>"1003-2020/27"</f>
        <v>1003-2020/27</v>
      </c>
      <c r="B981" s="1" t="str">
        <f t="shared" si="173"/>
        <v>13.02.2020</v>
      </c>
      <c r="C981" s="1" t="str">
        <f t="shared" si="172"/>
        <v>Закрито</v>
      </c>
      <c r="D981" s="1" t="str">
        <f>"Реєстрація місця проживання особи"</f>
        <v>Реєстрація місця проживання особи</v>
      </c>
      <c r="E981" s="1" t="str">
        <f>"Реєстрація місця проживання"</f>
        <v>Реєстрація місця проживання</v>
      </c>
      <c r="F981" s="1" t="str">
        <f>"Відділ реєстрації Новокаховської міської ради"</f>
        <v>Відділ реєстрації Новокаховської міської ради</v>
      </c>
      <c r="G981" s="1" t="str">
        <f t="shared" si="174"/>
        <v>1</v>
      </c>
      <c r="H981" s="1" t="str">
        <f>"Результат"</f>
        <v>Результат</v>
      </c>
      <c r="I981" s="1" t="str">
        <f t="shared" si="176"/>
        <v>Позитивний</v>
      </c>
      <c r="J981" s="1" t="str">
        <f t="shared" si="175"/>
        <v>Так</v>
      </c>
    </row>
    <row r="982" spans="1:10" ht="135" x14ac:dyDescent="0.25">
      <c r="A982" s="1" t="str">
        <f>"1001-2020/27"</f>
        <v>1001-2020/27</v>
      </c>
      <c r="B982" s="1" t="str">
        <f t="shared" si="173"/>
        <v>13.02.2020</v>
      </c>
      <c r="C982" s="1" t="str">
        <f t="shared" si="172"/>
        <v>Закрито</v>
      </c>
      <c r="D98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982" s="1" t="str">
        <f>"Земельні питання"</f>
        <v>Земельні питання</v>
      </c>
      <c r="F9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82" s="1" t="str">
        <f t="shared" si="174"/>
        <v>1</v>
      </c>
      <c r="H982" s="1" t="str">
        <f>"Результат"</f>
        <v>Результат</v>
      </c>
      <c r="I982" s="1" t="str">
        <f t="shared" si="176"/>
        <v>Позитивний</v>
      </c>
      <c r="J982" s="1" t="str">
        <f t="shared" si="175"/>
        <v>Так</v>
      </c>
    </row>
    <row r="983" spans="1:10" ht="45" x14ac:dyDescent="0.25">
      <c r="A983" s="1" t="str">
        <f>"1008-2020/27"</f>
        <v>1008-2020/27</v>
      </c>
      <c r="B983" s="1" t="str">
        <f t="shared" si="173"/>
        <v>13.02.2020</v>
      </c>
      <c r="C983" s="1" t="str">
        <f t="shared" si="172"/>
        <v>Закрито</v>
      </c>
      <c r="D983" s="1" t="str">
        <f>"Зняття з реєстрації місця проживання"</f>
        <v>Зняття з реєстрації місця проживання</v>
      </c>
      <c r="E983" s="1" t="str">
        <f>"Реєстрація місця проживання"</f>
        <v>Реєстрація місця проживання</v>
      </c>
      <c r="F983" s="1" t="str">
        <f>"Відділ реєстрації Новокаховської міської ради"</f>
        <v>Відділ реєстрації Новокаховської міської ради</v>
      </c>
      <c r="G983" s="1" t="str">
        <f t="shared" si="174"/>
        <v>1</v>
      </c>
      <c r="H983" s="1" t="str">
        <f>"Результат"</f>
        <v>Результат</v>
      </c>
      <c r="I983" s="1" t="str">
        <f t="shared" si="176"/>
        <v>Позитивний</v>
      </c>
      <c r="J983" s="1" t="str">
        <f t="shared" si="175"/>
        <v>Так</v>
      </c>
    </row>
    <row r="984" spans="1:10" ht="45" x14ac:dyDescent="0.25">
      <c r="A984" s="1" t="str">
        <f>"1006-2020/27"</f>
        <v>1006-2020/27</v>
      </c>
      <c r="B984" s="1" t="str">
        <f t="shared" si="173"/>
        <v>13.02.2020</v>
      </c>
      <c r="C984" s="1" t="str">
        <f t="shared" si="172"/>
        <v>Закрито</v>
      </c>
      <c r="D984" s="1" t="str">
        <f>"Зняття з реєстрації місця проживання"</f>
        <v>Зняття з реєстрації місця проживання</v>
      </c>
      <c r="E984" s="1" t="str">
        <f>"Реєстрація місця проживання"</f>
        <v>Реєстрація місця проживання</v>
      </c>
      <c r="F984" s="1" t="str">
        <f>"Відділ реєстрації Новокаховської міської ради"</f>
        <v>Відділ реєстрації Новокаховської міської ради</v>
      </c>
      <c r="G984" s="1" t="str">
        <f t="shared" si="174"/>
        <v>1</v>
      </c>
      <c r="H984" s="1" t="str">
        <f>"Результат"</f>
        <v>Результат</v>
      </c>
      <c r="I984" s="1" t="str">
        <f t="shared" si="176"/>
        <v>Позитивний</v>
      </c>
      <c r="J984" s="1" t="str">
        <f t="shared" si="175"/>
        <v>Так</v>
      </c>
    </row>
    <row r="985" spans="1:10" ht="135" x14ac:dyDescent="0.25">
      <c r="A985" s="1" t="str">
        <f>"994-2020/27"</f>
        <v>994-2020/27</v>
      </c>
      <c r="B985" s="1" t="str">
        <f t="shared" si="173"/>
        <v>13.02.2020</v>
      </c>
      <c r="C985" s="1" t="str">
        <f t="shared" si="172"/>
        <v>Закрито</v>
      </c>
      <c r="D98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85" s="1" t="str">
        <f>"Земельні питання"</f>
        <v>Земельні питання</v>
      </c>
      <c r="F9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85" s="1" t="str">
        <f>"3"</f>
        <v>3</v>
      </c>
      <c r="H985" s="1" t="str">
        <f>"Результат"</f>
        <v>Результат</v>
      </c>
      <c r="I985" s="1" t="str">
        <f t="shared" si="176"/>
        <v>Позитивний</v>
      </c>
      <c r="J985" s="1" t="str">
        <f>"Ні"</f>
        <v>Ні</v>
      </c>
    </row>
    <row r="986" spans="1:10" ht="45" x14ac:dyDescent="0.25">
      <c r="A986" s="1" t="str">
        <f>"1030-2020/27"</f>
        <v>1030-2020/27</v>
      </c>
      <c r="B986" s="1" t="str">
        <f t="shared" ref="B986:B1020" si="177">"14.02.2020"</f>
        <v>14.02.2020</v>
      </c>
      <c r="C986" s="1" t="str">
        <f t="shared" si="172"/>
        <v>Закрито</v>
      </c>
      <c r="D986" s="1" t="str">
        <f>"Зняття з реєстрації місця проживання"</f>
        <v>Зняття з реєстрації місця проживання</v>
      </c>
      <c r="E986" s="1" t="str">
        <f>"Реєстрація місця проживання"</f>
        <v>Реєстрація місця проживання</v>
      </c>
      <c r="F986" s="1" t="str">
        <f>"Відділ реєстрації Новокаховської міської ради"</f>
        <v>Відділ реєстрації Новокаховської міської ради</v>
      </c>
      <c r="G986" s="1" t="str">
        <f>"1"</f>
        <v>1</v>
      </c>
      <c r="H986" s="1" t="str">
        <f>"Результат"</f>
        <v>Результат</v>
      </c>
      <c r="I986" s="1" t="str">
        <f t="shared" si="176"/>
        <v>Позитивний</v>
      </c>
      <c r="J986" s="1" t="str">
        <f>"Так"</f>
        <v>Так</v>
      </c>
    </row>
    <row r="987" spans="1:10" ht="135" x14ac:dyDescent="0.25">
      <c r="A987" s="1" t="str">
        <f>"1026-2020/27"</f>
        <v>1026-2020/27</v>
      </c>
      <c r="B987" s="1" t="str">
        <f t="shared" si="177"/>
        <v>14.02.2020</v>
      </c>
      <c r="C987" s="1" t="str">
        <f t="shared" si="172"/>
        <v>Закрито</v>
      </c>
      <c r="D98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87" s="1" t="str">
        <f>"Земельні питання"</f>
        <v>Земельні питання</v>
      </c>
      <c r="F9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87" s="1" t="str">
        <f>"14"</f>
        <v>14</v>
      </c>
      <c r="H987" s="1" t="str">
        <f>"Результат"</f>
        <v>Результат</v>
      </c>
      <c r="I987" s="1" t="str">
        <f t="shared" si="176"/>
        <v>Позитивний</v>
      </c>
      <c r="J987" s="1" t="str">
        <f>"Ні"</f>
        <v>Ні</v>
      </c>
    </row>
    <row r="988" spans="1:10" ht="120" x14ac:dyDescent="0.25">
      <c r="A988" s="1" t="str">
        <f>"1032-2020/27"</f>
        <v>1032-2020/27</v>
      </c>
      <c r="B988" s="1" t="str">
        <f t="shared" si="177"/>
        <v>14.02.2020</v>
      </c>
      <c r="C988" s="1" t="str">
        <f>"Результат підготовлено адмін. органом"</f>
        <v>Результат підготовлено адмін. органом</v>
      </c>
      <c r="D988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988" s="1" t="str">
        <f>"Будівництво"</f>
        <v>Будівництво</v>
      </c>
      <c r="F98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988" s="1" t="str">
        <f>"10"</f>
        <v>10</v>
      </c>
      <c r="H988" s="1" t="str">
        <f>"Результат"</f>
        <v>Результат</v>
      </c>
      <c r="I988" s="1" t="str">
        <f t="shared" si="176"/>
        <v>Позитивний</v>
      </c>
      <c r="J988" s="1" t="str">
        <f>"Ні"</f>
        <v>Ні</v>
      </c>
    </row>
    <row r="989" spans="1:10" ht="90" x14ac:dyDescent="0.25">
      <c r="A989" s="1" t="str">
        <f>"1031-2020/27"</f>
        <v>1031-2020/27</v>
      </c>
      <c r="B989" s="1" t="str">
        <f t="shared" si="177"/>
        <v>14.02.2020</v>
      </c>
      <c r="C989" s="1" t="str">
        <f t="shared" ref="C989:C1049" si="178">"Закрито"</f>
        <v>Закрито</v>
      </c>
      <c r="D98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989" s="1" t="str">
        <f>"Інші послуги"</f>
        <v>Інші послуги</v>
      </c>
      <c r="F98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989" s="1" t="str">
        <f>"5"</f>
        <v>5</v>
      </c>
      <c r="H989" s="1" t="str">
        <f>"Результат"</f>
        <v>Результат</v>
      </c>
      <c r="I989" s="1" t="str">
        <f t="shared" si="176"/>
        <v>Позитивний</v>
      </c>
      <c r="J989" s="1" t="str">
        <f>"Ні"</f>
        <v>Ні</v>
      </c>
    </row>
    <row r="990" spans="1:10" ht="135" x14ac:dyDescent="0.25">
      <c r="A990" s="1" t="str">
        <f>"1039-2020/27"</f>
        <v>1039-2020/27</v>
      </c>
      <c r="B990" s="1" t="str">
        <f t="shared" si="177"/>
        <v>14.02.2020</v>
      </c>
      <c r="C990" s="1" t="str">
        <f t="shared" si="178"/>
        <v>Закрито</v>
      </c>
      <c r="D99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90" s="1" t="str">
        <f>"Земельні питання"</f>
        <v>Земельні питання</v>
      </c>
      <c r="F9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0" s="1" t="str">
        <f>"3"</f>
        <v>3</v>
      </c>
      <c r="H990" s="1" t="str">
        <f>"Результат"</f>
        <v>Результат</v>
      </c>
      <c r="I990" s="1" t="str">
        <f t="shared" si="176"/>
        <v>Позитивний</v>
      </c>
      <c r="J990" s="1" t="str">
        <f>"Ні"</f>
        <v>Ні</v>
      </c>
    </row>
    <row r="991" spans="1:10" ht="135" x14ac:dyDescent="0.25">
      <c r="A991" s="1" t="str">
        <f>"1034-2020/27"</f>
        <v>1034-2020/27</v>
      </c>
      <c r="B991" s="1" t="str">
        <f t="shared" si="177"/>
        <v>14.02.2020</v>
      </c>
      <c r="C991" s="1" t="str">
        <f t="shared" si="178"/>
        <v>Закрито</v>
      </c>
      <c r="D99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91" s="1" t="str">
        <f>"Земельні питання"</f>
        <v>Земельні питання</v>
      </c>
      <c r="F9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1" s="1" t="str">
        <f>"3"</f>
        <v>3</v>
      </c>
      <c r="H991" s="1" t="str">
        <f>"Результат"</f>
        <v>Результат</v>
      </c>
      <c r="I991" s="1" t="str">
        <f t="shared" si="176"/>
        <v>Позитивний</v>
      </c>
      <c r="J991" s="1" t="str">
        <f>"Ні"</f>
        <v>Ні</v>
      </c>
    </row>
    <row r="992" spans="1:10" ht="45" x14ac:dyDescent="0.25">
      <c r="A992" s="1" t="str">
        <f>"1014-2020/27"</f>
        <v>1014-2020/27</v>
      </c>
      <c r="B992" s="1" t="str">
        <f t="shared" si="177"/>
        <v>14.02.2020</v>
      </c>
      <c r="C992" s="1" t="str">
        <f t="shared" si="178"/>
        <v>Закрито</v>
      </c>
      <c r="D992" s="1" t="str">
        <f>"Зняття з реєстрації місця проживання"</f>
        <v>Зняття з реєстрації місця проживання</v>
      </c>
      <c r="E992" s="1" t="str">
        <f>"Реєстрація місця проживання"</f>
        <v>Реєстрація місця проживання</v>
      </c>
      <c r="F992" s="1" t="str">
        <f>"Відділ реєстрації Новокаховської міської ради"</f>
        <v>Відділ реєстрації Новокаховської міської ради</v>
      </c>
      <c r="G992" s="1" t="str">
        <f>"1"</f>
        <v>1</v>
      </c>
      <c r="H992" s="1" t="str">
        <f>"Результат"</f>
        <v>Результат</v>
      </c>
      <c r="I992" s="1" t="str">
        <f t="shared" si="176"/>
        <v>Позитивний</v>
      </c>
      <c r="J992" s="1" t="str">
        <f>"Так"</f>
        <v>Так</v>
      </c>
    </row>
    <row r="993" spans="1:10" ht="135" x14ac:dyDescent="0.25">
      <c r="A993" s="1" t="str">
        <f>"1037-2020/27"</f>
        <v>1037-2020/27</v>
      </c>
      <c r="B993" s="1" t="str">
        <f t="shared" si="177"/>
        <v>14.02.2020</v>
      </c>
      <c r="C993" s="1" t="str">
        <f t="shared" si="178"/>
        <v>Закрито</v>
      </c>
      <c r="D9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93" s="1" t="str">
        <f>"Земельні питання"</f>
        <v>Земельні питання</v>
      </c>
      <c r="F9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3" s="1" t="str">
        <f>"3"</f>
        <v>3</v>
      </c>
      <c r="H993" s="1" t="str">
        <f>"Результат"</f>
        <v>Результат</v>
      </c>
      <c r="I993" s="1" t="str">
        <f t="shared" si="176"/>
        <v>Позитивний</v>
      </c>
      <c r="J993" s="1" t="str">
        <f>"Ні"</f>
        <v>Ні</v>
      </c>
    </row>
    <row r="994" spans="1:10" ht="135" x14ac:dyDescent="0.25">
      <c r="A994" s="1" t="str">
        <f>"1025-2020/27"</f>
        <v>1025-2020/27</v>
      </c>
      <c r="B994" s="1" t="str">
        <f t="shared" si="177"/>
        <v>14.02.2020</v>
      </c>
      <c r="C994" s="1" t="str">
        <f t="shared" si="178"/>
        <v>Закрито</v>
      </c>
      <c r="D99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994" s="1" t="str">
        <f>"Земельні питання"</f>
        <v>Земельні питання</v>
      </c>
      <c r="F9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4" s="1" t="str">
        <f>"14"</f>
        <v>14</v>
      </c>
      <c r="H994" s="1" t="str">
        <f>"Результат"</f>
        <v>Результат</v>
      </c>
      <c r="I994" s="1" t="str">
        <f t="shared" si="176"/>
        <v>Позитивний</v>
      </c>
      <c r="J994" s="1" t="str">
        <f>"Ні"</f>
        <v>Ні</v>
      </c>
    </row>
    <row r="995" spans="1:10" ht="135" x14ac:dyDescent="0.25">
      <c r="A995" s="1" t="str">
        <f>"1045-2020/27"</f>
        <v>1045-2020/27</v>
      </c>
      <c r="B995" s="1" t="str">
        <f t="shared" si="177"/>
        <v>14.02.2020</v>
      </c>
      <c r="C995" s="1" t="str">
        <f t="shared" si="178"/>
        <v>Закрито</v>
      </c>
      <c r="D99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95" s="1" t="str">
        <f>"Земельні питання"</f>
        <v>Земельні питання</v>
      </c>
      <c r="F9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5" s="1" t="str">
        <f>"3"</f>
        <v>3</v>
      </c>
      <c r="H995" s="1" t="str">
        <f>"Результат"</f>
        <v>Результат</v>
      </c>
      <c r="I995" s="1" t="str">
        <f t="shared" si="176"/>
        <v>Позитивний</v>
      </c>
      <c r="J995" s="1" t="str">
        <f>"Ні"</f>
        <v>Ні</v>
      </c>
    </row>
    <row r="996" spans="1:10" ht="135" x14ac:dyDescent="0.25">
      <c r="A996" s="1" t="str">
        <f>"1012-2020/27"</f>
        <v>1012-2020/27</v>
      </c>
      <c r="B996" s="1" t="str">
        <f t="shared" si="177"/>
        <v>14.02.2020</v>
      </c>
      <c r="C996" s="1" t="str">
        <f t="shared" si="178"/>
        <v>Закрито</v>
      </c>
      <c r="D99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96" s="1" t="str">
        <f>"Земельні питання"</f>
        <v>Земельні питання</v>
      </c>
      <c r="F9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6" s="1" t="str">
        <f>"3"</f>
        <v>3</v>
      </c>
      <c r="H996" s="1" t="str">
        <f>"Результат"</f>
        <v>Результат</v>
      </c>
      <c r="I996" s="1" t="str">
        <f t="shared" si="176"/>
        <v>Позитивний</v>
      </c>
      <c r="J996" s="1" t="str">
        <f>"Ні"</f>
        <v>Ні</v>
      </c>
    </row>
    <row r="997" spans="1:10" ht="135" x14ac:dyDescent="0.25">
      <c r="A997" s="1" t="str">
        <f>"1035-2020/27"</f>
        <v>1035-2020/27</v>
      </c>
      <c r="B997" s="1" t="str">
        <f t="shared" si="177"/>
        <v>14.02.2020</v>
      </c>
      <c r="C997" s="1" t="str">
        <f t="shared" si="178"/>
        <v>Закрито</v>
      </c>
      <c r="D9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97" s="1" t="str">
        <f>"Земельні питання"</f>
        <v>Земельні питання</v>
      </c>
      <c r="F9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7" s="1" t="str">
        <f>"3"</f>
        <v>3</v>
      </c>
      <c r="H997" s="1" t="str">
        <f>"Результат"</f>
        <v>Результат</v>
      </c>
      <c r="I997" s="1" t="str">
        <f t="shared" si="176"/>
        <v>Позитивний</v>
      </c>
      <c r="J997" s="1" t="str">
        <f>"Ні"</f>
        <v>Ні</v>
      </c>
    </row>
    <row r="998" spans="1:10" ht="45" x14ac:dyDescent="0.25">
      <c r="A998" s="1" t="str">
        <f>"1028-2020/27"</f>
        <v>1028-2020/27</v>
      </c>
      <c r="B998" s="1" t="str">
        <f t="shared" si="177"/>
        <v>14.02.2020</v>
      </c>
      <c r="C998" s="1" t="str">
        <f t="shared" si="178"/>
        <v>Закрито</v>
      </c>
      <c r="D998" s="1" t="str">
        <f>"Реєстрація місця проживання особи"</f>
        <v>Реєстрація місця проживання особи</v>
      </c>
      <c r="E998" s="1" t="str">
        <f>"Реєстрація місця проживання"</f>
        <v>Реєстрація місця проживання</v>
      </c>
      <c r="F998" s="1" t="str">
        <f>"Відділ реєстрації Новокаховської міської ради"</f>
        <v>Відділ реєстрації Новокаховської міської ради</v>
      </c>
      <c r="G998" s="1" t="str">
        <f>"1"</f>
        <v>1</v>
      </c>
      <c r="H998" s="1" t="str">
        <f>"Результат"</f>
        <v>Результат</v>
      </c>
      <c r="I998" s="1" t="str">
        <f t="shared" si="176"/>
        <v>Позитивний</v>
      </c>
      <c r="J998" s="1" t="str">
        <f>"Так"</f>
        <v>Так</v>
      </c>
    </row>
    <row r="999" spans="1:10" ht="135" x14ac:dyDescent="0.25">
      <c r="A999" s="1" t="str">
        <f>"1038-2020/27"</f>
        <v>1038-2020/27</v>
      </c>
      <c r="B999" s="1" t="str">
        <f t="shared" si="177"/>
        <v>14.02.2020</v>
      </c>
      <c r="C999" s="1" t="str">
        <f t="shared" si="178"/>
        <v>Закрито</v>
      </c>
      <c r="D99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999" s="1" t="str">
        <f>"Земельні питання"</f>
        <v>Земельні питання</v>
      </c>
      <c r="F9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999" s="1" t="str">
        <f>"3"</f>
        <v>3</v>
      </c>
      <c r="H999" s="1" t="str">
        <f>"Результат"</f>
        <v>Результат</v>
      </c>
      <c r="I999" s="1" t="str">
        <f t="shared" si="176"/>
        <v>Позитивний</v>
      </c>
      <c r="J999" s="1" t="str">
        <f>"Ні"</f>
        <v>Ні</v>
      </c>
    </row>
    <row r="1000" spans="1:10" ht="120" x14ac:dyDescent="0.25">
      <c r="A1000" s="1" t="str">
        <f>"1015-2020/27"</f>
        <v>1015-2020/27</v>
      </c>
      <c r="B1000" s="1" t="str">
        <f t="shared" si="177"/>
        <v>14.02.2020</v>
      </c>
      <c r="C1000" s="1" t="str">
        <f t="shared" si="178"/>
        <v>Закрито</v>
      </c>
      <c r="D1000" s="1" t="str">
        <f>"Реєстрація декларації відповідності матеріально-технічної бази суб’єкта господарювання вимогам законодавства з питань пожежної безпеки"</f>
        <v>Реєстрація декларації відповідності матеріально-технічної бази суб’єкта господарювання вимогам законодавства з питань пожежної безпеки</v>
      </c>
      <c r="E1000" s="1" t="str">
        <f>"Пожежна безпека"</f>
        <v>Пожежна безпека</v>
      </c>
      <c r="F1000" s="1" t="str">
        <f>"Новокаховський міський відділ Управління Державної служби України з надзвичайних ситуацій у Херсонській області"</f>
        <v>Новокаховський міський відділ Управління Державної служби України з надзвичайних ситуацій у Херсонській області</v>
      </c>
      <c r="G1000" s="1" t="str">
        <f>"10"</f>
        <v>10</v>
      </c>
      <c r="H1000" s="1" t="str">
        <f>"Результат"</f>
        <v>Результат</v>
      </c>
      <c r="I1000" s="1" t="str">
        <f t="shared" si="176"/>
        <v>Позитивний</v>
      </c>
      <c r="J1000" s="1" t="str">
        <f>"Ні"</f>
        <v>Ні</v>
      </c>
    </row>
    <row r="1001" spans="1:10" ht="45" x14ac:dyDescent="0.25">
      <c r="A1001" s="1" t="str">
        <f>"1016-2020/27"</f>
        <v>1016-2020/27</v>
      </c>
      <c r="B1001" s="1" t="str">
        <f t="shared" si="177"/>
        <v>14.02.2020</v>
      </c>
      <c r="C1001" s="1" t="str">
        <f t="shared" si="178"/>
        <v>Закрито</v>
      </c>
      <c r="D1001" s="1" t="str">
        <f>"Зняття з реєстрації місця проживання"</f>
        <v>Зняття з реєстрації місця проживання</v>
      </c>
      <c r="E1001" s="1" t="str">
        <f>"Реєстрація місця проживання"</f>
        <v>Реєстрація місця проживання</v>
      </c>
      <c r="F1001" s="1" t="str">
        <f>"Відділ реєстрації Новокаховської міської ради"</f>
        <v>Відділ реєстрації Новокаховської міської ради</v>
      </c>
      <c r="G1001" s="1" t="str">
        <f>"1"</f>
        <v>1</v>
      </c>
      <c r="H1001" s="1" t="str">
        <f>"Результат"</f>
        <v>Результат</v>
      </c>
      <c r="I1001" s="1" t="str">
        <f t="shared" si="176"/>
        <v>Позитивний</v>
      </c>
      <c r="J1001" s="1" t="str">
        <f>"Так"</f>
        <v>Так</v>
      </c>
    </row>
    <row r="1002" spans="1:10" ht="135" x14ac:dyDescent="0.25">
      <c r="A1002" s="1" t="str">
        <f>"1043-2020/27"</f>
        <v>1043-2020/27</v>
      </c>
      <c r="B1002" s="1" t="str">
        <f t="shared" si="177"/>
        <v>14.02.2020</v>
      </c>
      <c r="C1002" s="1" t="str">
        <f t="shared" si="178"/>
        <v>Закрито</v>
      </c>
      <c r="D10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02" s="1" t="str">
        <f>"Земельні питання"</f>
        <v>Земельні питання</v>
      </c>
      <c r="F10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02" s="1" t="str">
        <f>"3"</f>
        <v>3</v>
      </c>
      <c r="H1002" s="1" t="str">
        <f>"Результат"</f>
        <v>Результат</v>
      </c>
      <c r="I1002" s="1" t="str">
        <f t="shared" si="176"/>
        <v>Позитивний</v>
      </c>
      <c r="J1002" s="1" t="str">
        <f>"Ні"</f>
        <v>Ні</v>
      </c>
    </row>
    <row r="1003" spans="1:10" ht="120" x14ac:dyDescent="0.25">
      <c r="A1003" s="1" t="str">
        <f>"1033-2020/27"</f>
        <v>1033-2020/27</v>
      </c>
      <c r="B1003" s="1" t="str">
        <f t="shared" si="177"/>
        <v>14.02.2020</v>
      </c>
      <c r="C1003" s="1" t="str">
        <f t="shared" si="178"/>
        <v>Закрито</v>
      </c>
      <c r="D1003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003" s="1" t="str">
        <f>"Будівництво"</f>
        <v>Будівництво</v>
      </c>
      <c r="F100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003" s="1" t="str">
        <f>"10"</f>
        <v>10</v>
      </c>
      <c r="H1003" s="1" t="str">
        <f>"Результат"</f>
        <v>Результат</v>
      </c>
      <c r="I1003" s="1" t="str">
        <f t="shared" si="176"/>
        <v>Позитивний</v>
      </c>
      <c r="J1003" s="1" t="str">
        <f>"Ні"</f>
        <v>Ні</v>
      </c>
    </row>
    <row r="1004" spans="1:10" ht="135" x14ac:dyDescent="0.25">
      <c r="A1004" s="1" t="str">
        <f>"1046-2020/27"</f>
        <v>1046-2020/27</v>
      </c>
      <c r="B1004" s="1" t="str">
        <f t="shared" si="177"/>
        <v>14.02.2020</v>
      </c>
      <c r="C1004" s="1" t="str">
        <f t="shared" si="178"/>
        <v>Закрито</v>
      </c>
      <c r="D100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04" s="1" t="str">
        <f>"Земельні питання"</f>
        <v>Земельні питання</v>
      </c>
      <c r="F10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04" s="1" t="str">
        <f>"3"</f>
        <v>3</v>
      </c>
      <c r="H1004" s="1" t="str">
        <f>"Результат"</f>
        <v>Результат</v>
      </c>
      <c r="I1004" s="1" t="str">
        <f t="shared" si="176"/>
        <v>Позитивний</v>
      </c>
      <c r="J1004" s="1" t="str">
        <f>"Ні"</f>
        <v>Ні</v>
      </c>
    </row>
    <row r="1005" spans="1:10" ht="90" x14ac:dyDescent="0.25">
      <c r="A1005" s="1" t="str">
        <f>"1027-2020/27"</f>
        <v>1027-2020/27</v>
      </c>
      <c r="B1005" s="1" t="str">
        <f t="shared" si="177"/>
        <v>14.02.2020</v>
      </c>
      <c r="C1005" s="1" t="str">
        <f t="shared" si="178"/>
        <v>Закрито</v>
      </c>
      <c r="D100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05" s="1" t="str">
        <f>"Інші послуги"</f>
        <v>Інші послуги</v>
      </c>
      <c r="F100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05" s="1" t="str">
        <f>"5"</f>
        <v>5</v>
      </c>
      <c r="H1005" s="1" t="str">
        <f>"Результат"</f>
        <v>Результат</v>
      </c>
      <c r="I1005" s="1" t="str">
        <f t="shared" si="176"/>
        <v>Позитивний</v>
      </c>
      <c r="J1005" s="1" t="str">
        <f>"Ні"</f>
        <v>Ні</v>
      </c>
    </row>
    <row r="1006" spans="1:10" ht="105" x14ac:dyDescent="0.25">
      <c r="A1006" s="1" t="str">
        <f>"1018-2020/27"</f>
        <v>1018-2020/27</v>
      </c>
      <c r="B1006" s="1" t="str">
        <f t="shared" si="177"/>
        <v>14.02.2020</v>
      </c>
      <c r="C1006" s="1" t="str">
        <f t="shared" si="178"/>
        <v>Закрито</v>
      </c>
      <c r="D100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06" s="1" t="str">
        <f t="shared" ref="E1006:E1016" si="179">"Земельні питання"</f>
        <v>Земельні питання</v>
      </c>
      <c r="F100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06" s="1" t="str">
        <f>"1"</f>
        <v>1</v>
      </c>
      <c r="H1006" s="1" t="str">
        <f>"Результат"</f>
        <v>Результат</v>
      </c>
      <c r="I1006" s="1" t="str">
        <f t="shared" si="176"/>
        <v>Позитивний</v>
      </c>
      <c r="J1006" s="1" t="str">
        <f>"Так"</f>
        <v>Так</v>
      </c>
    </row>
    <row r="1007" spans="1:10" ht="105" x14ac:dyDescent="0.25">
      <c r="A1007" s="1" t="str">
        <f>"1019-2020/27"</f>
        <v>1019-2020/27</v>
      </c>
      <c r="B1007" s="1" t="str">
        <f t="shared" si="177"/>
        <v>14.02.2020</v>
      </c>
      <c r="C1007" s="1" t="str">
        <f t="shared" si="178"/>
        <v>Закрито</v>
      </c>
      <c r="D100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07" s="1" t="str">
        <f t="shared" si="179"/>
        <v>Земельні питання</v>
      </c>
      <c r="F100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07" s="1" t="str">
        <f>"1"</f>
        <v>1</v>
      </c>
      <c r="H1007" s="1" t="str">
        <f>"Результат"</f>
        <v>Результат</v>
      </c>
      <c r="I1007" s="1" t="str">
        <f t="shared" si="176"/>
        <v>Позитивний</v>
      </c>
      <c r="J1007" s="1" t="str">
        <f>"Так"</f>
        <v>Так</v>
      </c>
    </row>
    <row r="1008" spans="1:10" ht="135" x14ac:dyDescent="0.25">
      <c r="A1008" s="1" t="str">
        <f>"1024-2020/27"</f>
        <v>1024-2020/27</v>
      </c>
      <c r="B1008" s="1" t="str">
        <f t="shared" si="177"/>
        <v>14.02.2020</v>
      </c>
      <c r="C1008" s="1" t="str">
        <f t="shared" si="178"/>
        <v>Закрито</v>
      </c>
      <c r="D1008" s="1" t="str">
        <f>"Внесення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витягу"</f>
        <v>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</v>
      </c>
      <c r="E1008" s="1" t="str">
        <f t="shared" si="179"/>
        <v>Земельні питання</v>
      </c>
      <c r="F1008" s="1" t="str">
        <f t="shared" ref="F1008:F1016" si="180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08" s="1" t="str">
        <f>"14"</f>
        <v>14</v>
      </c>
      <c r="H1008" s="1" t="str">
        <f>"Результат"</f>
        <v>Результат</v>
      </c>
      <c r="I1008" s="1" t="str">
        <f t="shared" si="176"/>
        <v>Позитивний</v>
      </c>
      <c r="J1008" s="1" t="str">
        <f t="shared" ref="J1008:J1013" si="181">"Ні"</f>
        <v>Ні</v>
      </c>
    </row>
    <row r="1009" spans="1:10" ht="135" x14ac:dyDescent="0.25">
      <c r="A1009" s="1" t="str">
        <f>"1029-2020/27"</f>
        <v>1029-2020/27</v>
      </c>
      <c r="B1009" s="1" t="str">
        <f t="shared" si="177"/>
        <v>14.02.2020</v>
      </c>
      <c r="C1009" s="1" t="str">
        <f t="shared" si="178"/>
        <v>Закрито</v>
      </c>
      <c r="D100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009" s="1" t="str">
        <f t="shared" si="179"/>
        <v>Земельні питання</v>
      </c>
      <c r="F1009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09" s="1" t="str">
        <f>"14"</f>
        <v>14</v>
      </c>
      <c r="H1009" s="1" t="str">
        <f>"Результат"</f>
        <v>Результат</v>
      </c>
      <c r="I1009" s="1" t="str">
        <f t="shared" si="176"/>
        <v>Позитивний</v>
      </c>
      <c r="J1009" s="1" t="str">
        <f t="shared" si="181"/>
        <v>Ні</v>
      </c>
    </row>
    <row r="1010" spans="1:10" ht="135" x14ac:dyDescent="0.25">
      <c r="A1010" s="1" t="str">
        <f>"1040-2020/27"</f>
        <v>1040-2020/27</v>
      </c>
      <c r="B1010" s="1" t="str">
        <f t="shared" si="177"/>
        <v>14.02.2020</v>
      </c>
      <c r="C1010" s="1" t="str">
        <f t="shared" si="178"/>
        <v>Закрито</v>
      </c>
      <c r="D101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10" s="1" t="str">
        <f t="shared" si="179"/>
        <v>Земельні питання</v>
      </c>
      <c r="F1010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0" s="1" t="str">
        <f>"3"</f>
        <v>3</v>
      </c>
      <c r="H1010" s="1" t="str">
        <f>"Результат"</f>
        <v>Результат</v>
      </c>
      <c r="I1010" s="1" t="str">
        <f t="shared" si="176"/>
        <v>Позитивний</v>
      </c>
      <c r="J1010" s="1" t="str">
        <f t="shared" si="181"/>
        <v>Ні</v>
      </c>
    </row>
    <row r="1011" spans="1:10" ht="135" x14ac:dyDescent="0.25">
      <c r="A1011" s="1" t="str">
        <f>"1041-2020/27"</f>
        <v>1041-2020/27</v>
      </c>
      <c r="B1011" s="1" t="str">
        <f t="shared" si="177"/>
        <v>14.02.2020</v>
      </c>
      <c r="C1011" s="1" t="str">
        <f t="shared" si="178"/>
        <v>Закрито</v>
      </c>
      <c r="D10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11" s="1" t="str">
        <f t="shared" si="179"/>
        <v>Земельні питання</v>
      </c>
      <c r="F1011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1" s="1" t="str">
        <f>"3"</f>
        <v>3</v>
      </c>
      <c r="H1011" s="1" t="str">
        <f>"Результат"</f>
        <v>Результат</v>
      </c>
      <c r="I1011" s="1" t="str">
        <f t="shared" si="176"/>
        <v>Позитивний</v>
      </c>
      <c r="J1011" s="1" t="str">
        <f t="shared" si="181"/>
        <v>Ні</v>
      </c>
    </row>
    <row r="1012" spans="1:10" ht="135" x14ac:dyDescent="0.25">
      <c r="A1012" s="1" t="str">
        <f>"1020-2020/27"</f>
        <v>1020-2020/27</v>
      </c>
      <c r="B1012" s="1" t="str">
        <f t="shared" si="177"/>
        <v>14.02.2020</v>
      </c>
      <c r="C1012" s="1" t="str">
        <f t="shared" si="178"/>
        <v>Закрито</v>
      </c>
      <c r="D101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12" s="1" t="str">
        <f t="shared" si="179"/>
        <v>Земельні питання</v>
      </c>
      <c r="F1012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2" s="1" t="str">
        <f>"14"</f>
        <v>14</v>
      </c>
      <c r="H1012" s="1" t="str">
        <f>"Результат"</f>
        <v>Результат</v>
      </c>
      <c r="I1012" s="1" t="str">
        <f t="shared" si="176"/>
        <v>Позитивний</v>
      </c>
      <c r="J1012" s="1" t="str">
        <f t="shared" si="181"/>
        <v>Ні</v>
      </c>
    </row>
    <row r="1013" spans="1:10" ht="135" x14ac:dyDescent="0.25">
      <c r="A1013" s="1" t="str">
        <f>"1036-2020/27"</f>
        <v>1036-2020/27</v>
      </c>
      <c r="B1013" s="1" t="str">
        <f t="shared" si="177"/>
        <v>14.02.2020</v>
      </c>
      <c r="C1013" s="1" t="str">
        <f t="shared" si="178"/>
        <v>Закрито</v>
      </c>
      <c r="D10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13" s="1" t="str">
        <f t="shared" si="179"/>
        <v>Земельні питання</v>
      </c>
      <c r="F1013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3" s="1" t="str">
        <f>"3"</f>
        <v>3</v>
      </c>
      <c r="H1013" s="1" t="str">
        <f>"Результат"</f>
        <v>Результат</v>
      </c>
      <c r="I1013" s="1" t="str">
        <f t="shared" si="176"/>
        <v>Позитивний</v>
      </c>
      <c r="J1013" s="1" t="str">
        <f t="shared" si="181"/>
        <v>Ні</v>
      </c>
    </row>
    <row r="1014" spans="1:10" ht="135" x14ac:dyDescent="0.25">
      <c r="A1014" s="1" t="str">
        <f>"1022-2020/27"</f>
        <v>1022-2020/27</v>
      </c>
      <c r="B1014" s="1" t="str">
        <f t="shared" si="177"/>
        <v>14.02.2020</v>
      </c>
      <c r="C1014" s="1" t="str">
        <f t="shared" si="178"/>
        <v>Закрито</v>
      </c>
      <c r="D101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14" s="1" t="str">
        <f t="shared" si="179"/>
        <v>Земельні питання</v>
      </c>
      <c r="F1014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4" s="1" t="str">
        <f>"1"</f>
        <v>1</v>
      </c>
      <c r="H1014" s="1" t="str">
        <f>"Результат"</f>
        <v>Результат</v>
      </c>
      <c r="I1014" s="1" t="str">
        <f t="shared" si="176"/>
        <v>Позитивний</v>
      </c>
      <c r="J1014" s="1" t="str">
        <f>"Так"</f>
        <v>Так</v>
      </c>
    </row>
    <row r="1015" spans="1:10" ht="135" x14ac:dyDescent="0.25">
      <c r="A1015" s="1" t="str">
        <f>"1042-2020/27"</f>
        <v>1042-2020/27</v>
      </c>
      <c r="B1015" s="1" t="str">
        <f t="shared" si="177"/>
        <v>14.02.2020</v>
      </c>
      <c r="C1015" s="1" t="str">
        <f t="shared" si="178"/>
        <v>Закрито</v>
      </c>
      <c r="D101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15" s="1" t="str">
        <f t="shared" si="179"/>
        <v>Земельні питання</v>
      </c>
      <c r="F1015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5" s="1" t="str">
        <f>"3"</f>
        <v>3</v>
      </c>
      <c r="H1015" s="1" t="str">
        <f>"Результат"</f>
        <v>Результат</v>
      </c>
      <c r="I1015" s="1" t="str">
        <f t="shared" si="176"/>
        <v>Позитивний</v>
      </c>
      <c r="J1015" s="1" t="str">
        <f t="shared" ref="J1015:J1024" si="182">"Ні"</f>
        <v>Ні</v>
      </c>
    </row>
    <row r="1016" spans="1:10" ht="135" x14ac:dyDescent="0.25">
      <c r="A1016" s="1" t="str">
        <f>"1013-2020/27"</f>
        <v>1013-2020/27</v>
      </c>
      <c r="B1016" s="1" t="str">
        <f t="shared" si="177"/>
        <v>14.02.2020</v>
      </c>
      <c r="C1016" s="1" t="str">
        <f t="shared" si="178"/>
        <v>Закрито</v>
      </c>
      <c r="D10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16" s="1" t="str">
        <f t="shared" si="179"/>
        <v>Земельні питання</v>
      </c>
      <c r="F1016" s="1" t="str">
        <f t="shared" si="18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6" s="1" t="str">
        <f>"3"</f>
        <v>3</v>
      </c>
      <c r="H1016" s="1" t="str">
        <f>"Результат"</f>
        <v>Результат</v>
      </c>
      <c r="I1016" s="1" t="str">
        <f t="shared" si="176"/>
        <v>Позитивний</v>
      </c>
      <c r="J1016" s="1" t="str">
        <f t="shared" si="182"/>
        <v>Ні</v>
      </c>
    </row>
    <row r="1017" spans="1:10" ht="165" x14ac:dyDescent="0.25">
      <c r="A1017" s="1" t="str">
        <f>"1017-2020/27"</f>
        <v>1017-2020/27</v>
      </c>
      <c r="B1017" s="1" t="str">
        <f t="shared" si="177"/>
        <v>14.02.2020</v>
      </c>
      <c r="C1017" s="1" t="str">
        <f t="shared" si="178"/>
        <v>Закрито</v>
      </c>
      <c r="D1017" s="1" t="str">
        <f>"Державна реєстрація рішення про припинення обласних, регіональних, місцевих та первинних професійних спілок, їх організацій, організацій професійних спілок, об’єднання професійних спілок"</f>
        <v>Державна реєстрація рішення про припинення обласних, регіональних, місцевих та первинних професійних спілок, їх організацій, організацій професійних спілок, об’єднання професійних спілок</v>
      </c>
      <c r="E1017" s="1" t="str">
        <f>"Державна реєстрація громадських об’єднань"</f>
        <v>Державна реєстрація громадських об’єднань</v>
      </c>
      <c r="F1017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017" s="1" t="str">
        <f>"15"</f>
        <v>15</v>
      </c>
      <c r="H1017" s="1" t="str">
        <f>"Результат"</f>
        <v>Результат</v>
      </c>
      <c r="I1017" s="1" t="str">
        <f t="shared" si="176"/>
        <v>Позитивний</v>
      </c>
      <c r="J1017" s="1" t="str">
        <f t="shared" si="182"/>
        <v>Ні</v>
      </c>
    </row>
    <row r="1018" spans="1:10" ht="135" x14ac:dyDescent="0.25">
      <c r="A1018" s="1" t="str">
        <f>"1023-2020/27"</f>
        <v>1023-2020/27</v>
      </c>
      <c r="B1018" s="1" t="str">
        <f t="shared" si="177"/>
        <v>14.02.2020</v>
      </c>
      <c r="C1018" s="1" t="str">
        <f t="shared" si="178"/>
        <v>Закрито</v>
      </c>
      <c r="D101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18" s="1" t="str">
        <f t="shared" ref="E1018:E1024" si="183">"Земельні питання"</f>
        <v>Земельні питання</v>
      </c>
      <c r="F1018" s="1" t="str">
        <f t="shared" ref="F1018:F1024" si="184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8" s="1" t="str">
        <f>"14"</f>
        <v>14</v>
      </c>
      <c r="H1018" s="1" t="str">
        <f>"Результат"</f>
        <v>Результат</v>
      </c>
      <c r="I1018" s="1" t="str">
        <f t="shared" si="176"/>
        <v>Позитивний</v>
      </c>
      <c r="J1018" s="1" t="str">
        <f t="shared" si="182"/>
        <v>Ні</v>
      </c>
    </row>
    <row r="1019" spans="1:10" ht="135" x14ac:dyDescent="0.25">
      <c r="A1019" s="1" t="str">
        <f>"1044-2020/27"</f>
        <v>1044-2020/27</v>
      </c>
      <c r="B1019" s="1" t="str">
        <f t="shared" si="177"/>
        <v>14.02.2020</v>
      </c>
      <c r="C1019" s="1" t="str">
        <f t="shared" si="178"/>
        <v>Закрито</v>
      </c>
      <c r="D101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19" s="1" t="str">
        <f t="shared" si="183"/>
        <v>Земельні питання</v>
      </c>
      <c r="F1019" s="1" t="str">
        <f t="shared" si="1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19" s="1" t="str">
        <f>"3"</f>
        <v>3</v>
      </c>
      <c r="H1019" s="1" t="str">
        <f>"Результат"</f>
        <v>Результат</v>
      </c>
      <c r="I1019" s="1" t="str">
        <f t="shared" si="176"/>
        <v>Позитивний</v>
      </c>
      <c r="J1019" s="1" t="str">
        <f t="shared" si="182"/>
        <v>Ні</v>
      </c>
    </row>
    <row r="1020" spans="1:10" ht="135" x14ac:dyDescent="0.25">
      <c r="A1020" s="1" t="str">
        <f>"1021-2020/27"</f>
        <v>1021-2020/27</v>
      </c>
      <c r="B1020" s="1" t="str">
        <f t="shared" si="177"/>
        <v>14.02.2020</v>
      </c>
      <c r="C1020" s="1" t="str">
        <f t="shared" si="178"/>
        <v>Закрито</v>
      </c>
      <c r="D102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20" s="1" t="str">
        <f t="shared" si="183"/>
        <v>Земельні питання</v>
      </c>
      <c r="F1020" s="1" t="str">
        <f t="shared" si="1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0" s="1" t="str">
        <f>"14"</f>
        <v>14</v>
      </c>
      <c r="H1020" s="1" t="str">
        <f>"Результат"</f>
        <v>Результат</v>
      </c>
      <c r="I1020" s="1" t="str">
        <f t="shared" si="176"/>
        <v>Позитивний</v>
      </c>
      <c r="J1020" s="1" t="str">
        <f t="shared" si="182"/>
        <v>Ні</v>
      </c>
    </row>
    <row r="1021" spans="1:10" ht="135" x14ac:dyDescent="0.25">
      <c r="A1021" s="1" t="str">
        <f>"1062-2020/27"</f>
        <v>1062-2020/27</v>
      </c>
      <c r="B1021" s="1" t="str">
        <f t="shared" ref="B1021:B1048" si="185">"17.02.2020"</f>
        <v>17.02.2020</v>
      </c>
      <c r="C1021" s="1" t="str">
        <f t="shared" si="178"/>
        <v>Закрито</v>
      </c>
      <c r="D102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21" s="1" t="str">
        <f t="shared" si="183"/>
        <v>Земельні питання</v>
      </c>
      <c r="F1021" s="1" t="str">
        <f t="shared" si="1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1" s="1" t="str">
        <f>"3"</f>
        <v>3</v>
      </c>
      <c r="H1021" s="1" t="str">
        <f>"Результат"</f>
        <v>Результат</v>
      </c>
      <c r="I1021" s="1" t="str">
        <f t="shared" si="176"/>
        <v>Позитивний</v>
      </c>
      <c r="J1021" s="1" t="str">
        <f t="shared" si="182"/>
        <v>Ні</v>
      </c>
    </row>
    <row r="1022" spans="1:10" ht="135" x14ac:dyDescent="0.25">
      <c r="A1022" s="1" t="str">
        <f>"1070-2020/27"</f>
        <v>1070-2020/27</v>
      </c>
      <c r="B1022" s="1" t="str">
        <f t="shared" si="185"/>
        <v>17.02.2020</v>
      </c>
      <c r="C1022" s="1" t="str">
        <f t="shared" si="178"/>
        <v>Закрито</v>
      </c>
      <c r="D102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22" s="1" t="str">
        <f t="shared" si="183"/>
        <v>Земельні питання</v>
      </c>
      <c r="F1022" s="1" t="str">
        <f t="shared" si="1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2" s="1" t="str">
        <f>"14"</f>
        <v>14</v>
      </c>
      <c r="H1022" s="1" t="str">
        <f>"Результат"</f>
        <v>Результат</v>
      </c>
      <c r="I1022" s="1" t="str">
        <f>"Мотивована відмова"</f>
        <v>Мотивована відмова</v>
      </c>
      <c r="J1022" s="1" t="str">
        <f t="shared" si="182"/>
        <v>Ні</v>
      </c>
    </row>
    <row r="1023" spans="1:10" ht="135" x14ac:dyDescent="0.25">
      <c r="A1023" s="1" t="str">
        <f>"1074-2020/27"</f>
        <v>1074-2020/27</v>
      </c>
      <c r="B1023" s="1" t="str">
        <f t="shared" si="185"/>
        <v>17.02.2020</v>
      </c>
      <c r="C1023" s="1" t="str">
        <f t="shared" si="178"/>
        <v>Закрито</v>
      </c>
      <c r="D102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23" s="1" t="str">
        <f t="shared" si="183"/>
        <v>Земельні питання</v>
      </c>
      <c r="F1023" s="1" t="str">
        <f t="shared" si="1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3" s="1" t="str">
        <f>"14"</f>
        <v>14</v>
      </c>
      <c r="H1023" s="1" t="str">
        <f>"Результат"</f>
        <v>Результат</v>
      </c>
      <c r="I1023" s="1" t="str">
        <f>"Позитивний"</f>
        <v>Позитивний</v>
      </c>
      <c r="J1023" s="1" t="str">
        <f t="shared" si="182"/>
        <v>Ні</v>
      </c>
    </row>
    <row r="1024" spans="1:10" ht="135" x14ac:dyDescent="0.25">
      <c r="A1024" s="1" t="str">
        <f>"1069-2020/27"</f>
        <v>1069-2020/27</v>
      </c>
      <c r="B1024" s="1" t="str">
        <f t="shared" si="185"/>
        <v>17.02.2020</v>
      </c>
      <c r="C1024" s="1" t="str">
        <f t="shared" si="178"/>
        <v>Закрито</v>
      </c>
      <c r="D102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24" s="1" t="str">
        <f t="shared" si="183"/>
        <v>Земельні питання</v>
      </c>
      <c r="F1024" s="1" t="str">
        <f t="shared" si="1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4" s="1" t="str">
        <f>"14"</f>
        <v>14</v>
      </c>
      <c r="H1024" s="1" t="str">
        <f>"Результат"</f>
        <v>Результат</v>
      </c>
      <c r="I1024" s="1" t="str">
        <f>"Позитивний"</f>
        <v>Позитивний</v>
      </c>
      <c r="J1024" s="1" t="str">
        <f t="shared" si="182"/>
        <v>Ні</v>
      </c>
    </row>
    <row r="1025" spans="1:10" ht="45" x14ac:dyDescent="0.25">
      <c r="A1025" s="1" t="str">
        <f>"1063-2020/27"</f>
        <v>1063-2020/27</v>
      </c>
      <c r="B1025" s="1" t="str">
        <f t="shared" si="185"/>
        <v>17.02.2020</v>
      </c>
      <c r="C1025" s="1" t="str">
        <f t="shared" si="178"/>
        <v>Закрито</v>
      </c>
      <c r="D1025" s="1" t="str">
        <f>"Реєстрація місця проживання особи"</f>
        <v>Реєстрація місця проживання особи</v>
      </c>
      <c r="E1025" s="1" t="str">
        <f>"Реєстрація місця проживання"</f>
        <v>Реєстрація місця проживання</v>
      </c>
      <c r="F1025" s="1" t="str">
        <f>"Відділ реєстрації Новокаховської міської ради"</f>
        <v>Відділ реєстрації Новокаховської міської ради</v>
      </c>
      <c r="G1025" s="1" t="str">
        <f>"1"</f>
        <v>1</v>
      </c>
      <c r="H1025" s="1" t="str">
        <f>"Результат"</f>
        <v>Результат</v>
      </c>
      <c r="I1025" s="1" t="str">
        <f>"Позитивний"</f>
        <v>Позитивний</v>
      </c>
      <c r="J1025" s="1" t="str">
        <f>"Так"</f>
        <v>Так</v>
      </c>
    </row>
    <row r="1026" spans="1:10" ht="135" x14ac:dyDescent="0.25">
      <c r="A1026" s="1" t="str">
        <f>"1061-2020/27"</f>
        <v>1061-2020/27</v>
      </c>
      <c r="B1026" s="1" t="str">
        <f t="shared" si="185"/>
        <v>17.02.2020</v>
      </c>
      <c r="C1026" s="1" t="str">
        <f t="shared" si="178"/>
        <v>Закрито</v>
      </c>
      <c r="D102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26" s="1" t="str">
        <f>"Земельні питання"</f>
        <v>Земельні питання</v>
      </c>
      <c r="F10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6" s="1" t="str">
        <f>"3"</f>
        <v>3</v>
      </c>
      <c r="H1026" s="1" t="str">
        <f>"Результат"</f>
        <v>Результат</v>
      </c>
      <c r="I1026" s="1" t="str">
        <f>"Позитивний"</f>
        <v>Позитивний</v>
      </c>
      <c r="J1026" s="1" t="str">
        <f>"Ні"</f>
        <v>Ні</v>
      </c>
    </row>
    <row r="1027" spans="1:10" ht="135" x14ac:dyDescent="0.25">
      <c r="A1027" s="1" t="str">
        <f>"1068-2020/27"</f>
        <v>1068-2020/27</v>
      </c>
      <c r="B1027" s="1" t="str">
        <f t="shared" si="185"/>
        <v>17.02.2020</v>
      </c>
      <c r="C1027" s="1" t="str">
        <f t="shared" si="178"/>
        <v>Закрито</v>
      </c>
      <c r="D102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27" s="1" t="str">
        <f>"Земельні питання"</f>
        <v>Земельні питання</v>
      </c>
      <c r="F10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7" s="1" t="str">
        <f>"3"</f>
        <v>3</v>
      </c>
      <c r="H1027" s="1" t="str">
        <f>"Результат"</f>
        <v>Результат</v>
      </c>
      <c r="I1027" s="1" t="str">
        <f>"Мотивована відмова"</f>
        <v>Мотивована відмова</v>
      </c>
      <c r="J1027" s="1" t="str">
        <f>"Ні"</f>
        <v>Ні</v>
      </c>
    </row>
    <row r="1028" spans="1:10" ht="135" x14ac:dyDescent="0.25">
      <c r="A1028" s="1" t="str">
        <f>"1058-2020/27"</f>
        <v>1058-2020/27</v>
      </c>
      <c r="B1028" s="1" t="str">
        <f t="shared" si="185"/>
        <v>17.02.2020</v>
      </c>
      <c r="C1028" s="1" t="str">
        <f t="shared" si="178"/>
        <v>Закрито</v>
      </c>
      <c r="D102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28" s="1" t="str">
        <f>"Земельні питання"</f>
        <v>Земельні питання</v>
      </c>
      <c r="F10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8" s="1" t="str">
        <f>"3"</f>
        <v>3</v>
      </c>
      <c r="H1028" s="1" t="str">
        <f>"Результат"</f>
        <v>Результат</v>
      </c>
      <c r="I1028" s="1" t="str">
        <f t="shared" ref="I1028:I1049" si="186">"Позитивний"</f>
        <v>Позитивний</v>
      </c>
      <c r="J1028" s="1" t="str">
        <f>"Ні"</f>
        <v>Ні</v>
      </c>
    </row>
    <row r="1029" spans="1:10" ht="135" x14ac:dyDescent="0.25">
      <c r="A1029" s="1" t="str">
        <f>"1060-2020/27"</f>
        <v>1060-2020/27</v>
      </c>
      <c r="B1029" s="1" t="str">
        <f t="shared" si="185"/>
        <v>17.02.2020</v>
      </c>
      <c r="C1029" s="1" t="str">
        <f t="shared" si="178"/>
        <v>Закрито</v>
      </c>
      <c r="D102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29" s="1" t="str">
        <f>"Земельні питання"</f>
        <v>Земельні питання</v>
      </c>
      <c r="F10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29" s="1" t="str">
        <f>"3"</f>
        <v>3</v>
      </c>
      <c r="H1029" s="1" t="str">
        <f>"Результат"</f>
        <v>Результат</v>
      </c>
      <c r="I1029" s="1" t="str">
        <f t="shared" si="186"/>
        <v>Позитивний</v>
      </c>
      <c r="J1029" s="1" t="str">
        <f>"Ні"</f>
        <v>Ні</v>
      </c>
    </row>
    <row r="1030" spans="1:10" ht="45" x14ac:dyDescent="0.25">
      <c r="A1030" s="1" t="str">
        <f>"1048-2020/27"</f>
        <v>1048-2020/27</v>
      </c>
      <c r="B1030" s="1" t="str">
        <f t="shared" si="185"/>
        <v>17.02.2020</v>
      </c>
      <c r="C1030" s="1" t="str">
        <f t="shared" si="178"/>
        <v>Закрито</v>
      </c>
      <c r="D1030" s="1" t="str">
        <f>"Реєстрація місця проживання особи"</f>
        <v>Реєстрація місця проживання особи</v>
      </c>
      <c r="E1030" s="1" t="str">
        <f>"Реєстрація місця проживання"</f>
        <v>Реєстрація місця проживання</v>
      </c>
      <c r="F1030" s="1" t="str">
        <f>"Відділ реєстрації Новокаховської міської ради"</f>
        <v>Відділ реєстрації Новокаховської міської ради</v>
      </c>
      <c r="G1030" s="1" t="str">
        <f>"1"</f>
        <v>1</v>
      </c>
      <c r="H1030" s="1" t="str">
        <f>"Результат"</f>
        <v>Результат</v>
      </c>
      <c r="I1030" s="1" t="str">
        <f t="shared" si="186"/>
        <v>Позитивний</v>
      </c>
      <c r="J1030" s="1" t="str">
        <f>"Так"</f>
        <v>Так</v>
      </c>
    </row>
    <row r="1031" spans="1:10" ht="105" x14ac:dyDescent="0.25">
      <c r="A1031" s="1" t="str">
        <f>"1065-2020/27"</f>
        <v>1065-2020/27</v>
      </c>
      <c r="B1031" s="1" t="str">
        <f t="shared" si="185"/>
        <v>17.02.2020</v>
      </c>
      <c r="C1031" s="1" t="str">
        <f t="shared" si="178"/>
        <v>Закрито</v>
      </c>
      <c r="D103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31" s="1" t="str">
        <f>"Земельні питання"</f>
        <v>Земельні питання</v>
      </c>
      <c r="F103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31" s="1" t="str">
        <f>"1"</f>
        <v>1</v>
      </c>
      <c r="H1031" s="1" t="str">
        <f>"Результат"</f>
        <v>Результат</v>
      </c>
      <c r="I1031" s="1" t="str">
        <f t="shared" si="186"/>
        <v>Позитивний</v>
      </c>
      <c r="J1031" s="1" t="str">
        <f>"Так"</f>
        <v>Так</v>
      </c>
    </row>
    <row r="1032" spans="1:10" ht="135" x14ac:dyDescent="0.25">
      <c r="A1032" s="1" t="str">
        <f>"1057-2020/27"</f>
        <v>1057-2020/27</v>
      </c>
      <c r="B1032" s="1" t="str">
        <f t="shared" si="185"/>
        <v>17.02.2020</v>
      </c>
      <c r="C1032" s="1" t="str">
        <f t="shared" si="178"/>
        <v>Закрито</v>
      </c>
      <c r="D103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32" s="1" t="str">
        <f>"Земельні питання"</f>
        <v>Земельні питання</v>
      </c>
      <c r="F10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32" s="1" t="str">
        <f>"14"</f>
        <v>14</v>
      </c>
      <c r="H1032" s="1" t="str">
        <f>"Результат"</f>
        <v>Результат</v>
      </c>
      <c r="I1032" s="1" t="str">
        <f t="shared" si="186"/>
        <v>Позитивний</v>
      </c>
      <c r="J1032" s="1" t="str">
        <f>"Ні"</f>
        <v>Ні</v>
      </c>
    </row>
    <row r="1033" spans="1:10" ht="135" x14ac:dyDescent="0.25">
      <c r="A1033" s="1" t="str">
        <f>"1073-2020/27"</f>
        <v>1073-2020/27</v>
      </c>
      <c r="B1033" s="1" t="str">
        <f t="shared" si="185"/>
        <v>17.02.2020</v>
      </c>
      <c r="C1033" s="1" t="str">
        <f t="shared" si="178"/>
        <v>Закрито</v>
      </c>
      <c r="D103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33" s="1" t="str">
        <f>"Земельні питання"</f>
        <v>Земельні питання</v>
      </c>
      <c r="F10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33" s="1" t="str">
        <f>"14"</f>
        <v>14</v>
      </c>
      <c r="H1033" s="1" t="str">
        <f>"Результат"</f>
        <v>Результат</v>
      </c>
      <c r="I1033" s="1" t="str">
        <f t="shared" si="186"/>
        <v>Позитивний</v>
      </c>
      <c r="J1033" s="1" t="str">
        <f>"Ні"</f>
        <v>Ні</v>
      </c>
    </row>
    <row r="1034" spans="1:10" ht="45" x14ac:dyDescent="0.25">
      <c r="A1034" s="1" t="str">
        <f>"1049-2020/27"</f>
        <v>1049-2020/27</v>
      </c>
      <c r="B1034" s="1" t="str">
        <f t="shared" si="185"/>
        <v>17.02.2020</v>
      </c>
      <c r="C1034" s="1" t="str">
        <f t="shared" si="178"/>
        <v>Закрито</v>
      </c>
      <c r="D1034" s="1" t="str">
        <f>"Реєстрація місця проживання особи"</f>
        <v>Реєстрація місця проживання особи</v>
      </c>
      <c r="E1034" s="1" t="str">
        <f>"Реєстрація місця проживання"</f>
        <v>Реєстрація місця проживання</v>
      </c>
      <c r="F1034" s="1" t="str">
        <f>"Відділ реєстрації Новокаховської міської ради"</f>
        <v>Відділ реєстрації Новокаховської міської ради</v>
      </c>
      <c r="G1034" s="1" t="str">
        <f>"1"</f>
        <v>1</v>
      </c>
      <c r="H1034" s="1" t="str">
        <f>"Результат"</f>
        <v>Результат</v>
      </c>
      <c r="I1034" s="1" t="str">
        <f t="shared" si="186"/>
        <v>Позитивний</v>
      </c>
      <c r="J1034" s="1" t="str">
        <f>"Так"</f>
        <v>Так</v>
      </c>
    </row>
    <row r="1035" spans="1:10" ht="45" x14ac:dyDescent="0.25">
      <c r="A1035" s="1" t="str">
        <f>"1052-2020/27"</f>
        <v>1052-2020/27</v>
      </c>
      <c r="B1035" s="1" t="str">
        <f t="shared" si="185"/>
        <v>17.02.2020</v>
      </c>
      <c r="C1035" s="1" t="str">
        <f t="shared" si="178"/>
        <v>Закрито</v>
      </c>
      <c r="D1035" s="1" t="str">
        <f>"Зняття з реєстрації місця проживання"</f>
        <v>Зняття з реєстрації місця проживання</v>
      </c>
      <c r="E1035" s="1" t="str">
        <f>"Реєстрація місця проживання"</f>
        <v>Реєстрація місця проживання</v>
      </c>
      <c r="F1035" s="1" t="str">
        <f>"Відділ реєстрації Новокаховської міської ради"</f>
        <v>Відділ реєстрації Новокаховської міської ради</v>
      </c>
      <c r="G1035" s="1" t="str">
        <f>"1"</f>
        <v>1</v>
      </c>
      <c r="H1035" s="1" t="str">
        <f>"Результат"</f>
        <v>Результат</v>
      </c>
      <c r="I1035" s="1" t="str">
        <f t="shared" si="186"/>
        <v>Позитивний</v>
      </c>
      <c r="J1035" s="1" t="str">
        <f>"Так"</f>
        <v>Так</v>
      </c>
    </row>
    <row r="1036" spans="1:10" ht="45" x14ac:dyDescent="0.25">
      <c r="A1036" s="1" t="str">
        <f>"1050-2020/27"</f>
        <v>1050-2020/27</v>
      </c>
      <c r="B1036" s="1" t="str">
        <f t="shared" si="185"/>
        <v>17.02.2020</v>
      </c>
      <c r="C1036" s="1" t="str">
        <f t="shared" si="178"/>
        <v>Закрито</v>
      </c>
      <c r="D1036" s="1" t="str">
        <f>"Зняття з реєстрації місця проживання"</f>
        <v>Зняття з реєстрації місця проживання</v>
      </c>
      <c r="E1036" s="1" t="str">
        <f>"Реєстрація місця проживання"</f>
        <v>Реєстрація місця проживання</v>
      </c>
      <c r="F1036" s="1" t="str">
        <f>"Відділ реєстрації Новокаховської міської ради"</f>
        <v>Відділ реєстрації Новокаховської міської ради</v>
      </c>
      <c r="G1036" s="1" t="str">
        <f>"1"</f>
        <v>1</v>
      </c>
      <c r="H1036" s="1" t="str">
        <f>"Результат"</f>
        <v>Результат</v>
      </c>
      <c r="I1036" s="1" t="str">
        <f t="shared" si="186"/>
        <v>Позитивний</v>
      </c>
      <c r="J1036" s="1" t="str">
        <f>"Так"</f>
        <v>Так</v>
      </c>
    </row>
    <row r="1037" spans="1:10" ht="135" x14ac:dyDescent="0.25">
      <c r="A1037" s="1" t="str">
        <f>"1059-2020/27"</f>
        <v>1059-2020/27</v>
      </c>
      <c r="B1037" s="1" t="str">
        <f t="shared" si="185"/>
        <v>17.02.2020</v>
      </c>
      <c r="C1037" s="1" t="str">
        <f t="shared" si="178"/>
        <v>Закрито</v>
      </c>
      <c r="D103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37" s="1" t="str">
        <f>"Земельні питання"</f>
        <v>Земельні питання</v>
      </c>
      <c r="F10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37" s="1" t="str">
        <f>"3"</f>
        <v>3</v>
      </c>
      <c r="H1037" s="1" t="str">
        <f>"Результат"</f>
        <v>Результат</v>
      </c>
      <c r="I1037" s="1" t="str">
        <f t="shared" si="186"/>
        <v>Позитивний</v>
      </c>
      <c r="J1037" s="1" t="str">
        <f>"Ні"</f>
        <v>Ні</v>
      </c>
    </row>
    <row r="1038" spans="1:10" ht="105" x14ac:dyDescent="0.25">
      <c r="A1038" s="1" t="str">
        <f>"1053-2020/27"</f>
        <v>1053-2020/27</v>
      </c>
      <c r="B1038" s="1" t="str">
        <f t="shared" si="185"/>
        <v>17.02.2020</v>
      </c>
      <c r="C1038" s="1" t="str">
        <f t="shared" si="178"/>
        <v>Закрито</v>
      </c>
      <c r="D103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38" s="1" t="str">
        <f>"Земельні питання"</f>
        <v>Земельні питання</v>
      </c>
      <c r="F103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38" s="1" t="str">
        <f>"1"</f>
        <v>1</v>
      </c>
      <c r="H1038" s="1" t="str">
        <f>"Результат"</f>
        <v>Результат</v>
      </c>
      <c r="I1038" s="1" t="str">
        <f t="shared" si="186"/>
        <v>Позитивний</v>
      </c>
      <c r="J1038" s="1" t="str">
        <f>"Так"</f>
        <v>Так</v>
      </c>
    </row>
    <row r="1039" spans="1:10" ht="105" x14ac:dyDescent="0.25">
      <c r="A1039" s="1" t="str">
        <f>"1072-2020/27"</f>
        <v>1072-2020/27</v>
      </c>
      <c r="B1039" s="1" t="str">
        <f t="shared" si="185"/>
        <v>17.02.2020</v>
      </c>
      <c r="C1039" s="1" t="str">
        <f t="shared" si="178"/>
        <v>Закрито</v>
      </c>
      <c r="D103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39" s="1" t="str">
        <f>"Земельні питання"</f>
        <v>Земельні питання</v>
      </c>
      <c r="F103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39" s="1" t="str">
        <f>"1"</f>
        <v>1</v>
      </c>
      <c r="H1039" s="1" t="str">
        <f>"Результат"</f>
        <v>Результат</v>
      </c>
      <c r="I1039" s="1" t="str">
        <f t="shared" si="186"/>
        <v>Позитивний</v>
      </c>
      <c r="J1039" s="1" t="str">
        <f>"Так"</f>
        <v>Так</v>
      </c>
    </row>
    <row r="1040" spans="1:10" ht="135" x14ac:dyDescent="0.25">
      <c r="A1040" s="1" t="str">
        <f>"1071-2020/27"</f>
        <v>1071-2020/27</v>
      </c>
      <c r="B1040" s="1" t="str">
        <f t="shared" si="185"/>
        <v>17.02.2020</v>
      </c>
      <c r="C1040" s="1" t="str">
        <f t="shared" si="178"/>
        <v>Закрито</v>
      </c>
      <c r="D104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40" s="1" t="str">
        <f>"Земельні питання"</f>
        <v>Земельні питання</v>
      </c>
      <c r="F10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40" s="1" t="str">
        <f>"14"</f>
        <v>14</v>
      </c>
      <c r="H1040" s="1" t="str">
        <f>"Результат"</f>
        <v>Результат</v>
      </c>
      <c r="I1040" s="1" t="str">
        <f t="shared" si="186"/>
        <v>Позитивний</v>
      </c>
      <c r="J1040" s="1" t="str">
        <f>"Ні"</f>
        <v>Ні</v>
      </c>
    </row>
    <row r="1041" spans="1:10" ht="135" x14ac:dyDescent="0.25">
      <c r="A1041" s="1" t="str">
        <f>"1056-2020/27"</f>
        <v>1056-2020/27</v>
      </c>
      <c r="B1041" s="1" t="str">
        <f t="shared" si="185"/>
        <v>17.02.2020</v>
      </c>
      <c r="C1041" s="1" t="str">
        <f t="shared" si="178"/>
        <v>Закрито</v>
      </c>
      <c r="D104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41" s="1" t="str">
        <f>"Земельні питання"</f>
        <v>Земельні питання</v>
      </c>
      <c r="F10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41" s="1" t="str">
        <f>"14"</f>
        <v>14</v>
      </c>
      <c r="H1041" s="1" t="str">
        <f>"Результат"</f>
        <v>Результат</v>
      </c>
      <c r="I1041" s="1" t="str">
        <f t="shared" si="186"/>
        <v>Позитивний</v>
      </c>
      <c r="J1041" s="1" t="str">
        <f>"Ні"</f>
        <v>Ні</v>
      </c>
    </row>
    <row r="1042" spans="1:10" ht="45" x14ac:dyDescent="0.25">
      <c r="A1042" s="1" t="str">
        <f>"1051-2020/27"</f>
        <v>1051-2020/27</v>
      </c>
      <c r="B1042" s="1" t="str">
        <f t="shared" si="185"/>
        <v>17.02.2020</v>
      </c>
      <c r="C1042" s="1" t="str">
        <f t="shared" si="178"/>
        <v>Закрито</v>
      </c>
      <c r="D1042" s="1" t="str">
        <f>"Реєстрація місця проживання особи"</f>
        <v>Реєстрація місця проживання особи</v>
      </c>
      <c r="E1042" s="1" t="str">
        <f>"Реєстрація місця проживання"</f>
        <v>Реєстрація місця проживання</v>
      </c>
      <c r="F1042" s="1" t="str">
        <f>"Відділ реєстрації Новокаховської міської ради"</f>
        <v>Відділ реєстрації Новокаховської міської ради</v>
      </c>
      <c r="G1042" s="1" t="str">
        <f>"1"</f>
        <v>1</v>
      </c>
      <c r="H1042" s="1" t="str">
        <f>"Результат"</f>
        <v>Результат</v>
      </c>
      <c r="I1042" s="1" t="str">
        <f t="shared" si="186"/>
        <v>Позитивний</v>
      </c>
      <c r="J1042" s="1" t="str">
        <f>"Так"</f>
        <v>Так</v>
      </c>
    </row>
    <row r="1043" spans="1:10" ht="45" x14ac:dyDescent="0.25">
      <c r="A1043" s="1" t="str">
        <f>"1066-2020/27"</f>
        <v>1066-2020/27</v>
      </c>
      <c r="B1043" s="1" t="str">
        <f t="shared" si="185"/>
        <v>17.02.2020</v>
      </c>
      <c r="C1043" s="1" t="str">
        <f t="shared" si="178"/>
        <v>Закрито</v>
      </c>
      <c r="D1043" s="1" t="str">
        <f>"Реєстрація місця проживання особи"</f>
        <v>Реєстрація місця проживання особи</v>
      </c>
      <c r="E1043" s="1" t="str">
        <f>"Реєстрація місця проживання"</f>
        <v>Реєстрація місця проживання</v>
      </c>
      <c r="F1043" s="1" t="str">
        <f>"Відділ реєстрації Новокаховської міської ради"</f>
        <v>Відділ реєстрації Новокаховської міської ради</v>
      </c>
      <c r="G1043" s="1" t="str">
        <f>"1"</f>
        <v>1</v>
      </c>
      <c r="H1043" s="1" t="str">
        <f>"Результат"</f>
        <v>Результат</v>
      </c>
      <c r="I1043" s="1" t="str">
        <f t="shared" si="186"/>
        <v>Позитивний</v>
      </c>
      <c r="J1043" s="1" t="str">
        <f>"Так"</f>
        <v>Так</v>
      </c>
    </row>
    <row r="1044" spans="1:10" ht="135" x14ac:dyDescent="0.25">
      <c r="A1044" s="1" t="str">
        <f>"1055-2020/27"</f>
        <v>1055-2020/27</v>
      </c>
      <c r="B1044" s="1" t="str">
        <f t="shared" si="185"/>
        <v>17.02.2020</v>
      </c>
      <c r="C1044" s="1" t="str">
        <f t="shared" si="178"/>
        <v>Закрито</v>
      </c>
      <c r="D104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44" s="1" t="str">
        <f>"Земельні питання"</f>
        <v>Земельні питання</v>
      </c>
      <c r="F10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44" s="1" t="str">
        <f>"14"</f>
        <v>14</v>
      </c>
      <c r="H1044" s="1" t="str">
        <f>"Результат"</f>
        <v>Результат</v>
      </c>
      <c r="I1044" s="1" t="str">
        <f t="shared" si="186"/>
        <v>Позитивний</v>
      </c>
      <c r="J1044" s="1" t="str">
        <f>"Ні"</f>
        <v>Ні</v>
      </c>
    </row>
    <row r="1045" spans="1:10" ht="90" x14ac:dyDescent="0.25">
      <c r="A1045" s="1" t="str">
        <f>"1047-2020/27"</f>
        <v>1047-2020/27</v>
      </c>
      <c r="B1045" s="1" t="str">
        <f t="shared" si="185"/>
        <v>17.02.2020</v>
      </c>
      <c r="C1045" s="1" t="str">
        <f t="shared" si="178"/>
        <v>Закрито</v>
      </c>
      <c r="D104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45" s="1" t="str">
        <f>"Інші послуги"</f>
        <v>Інші послуги</v>
      </c>
      <c r="F104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45" s="1" t="str">
        <f>"5"</f>
        <v>5</v>
      </c>
      <c r="H1045" s="1" t="str">
        <f>"Результат"</f>
        <v>Результат</v>
      </c>
      <c r="I1045" s="1" t="str">
        <f t="shared" si="186"/>
        <v>Позитивний</v>
      </c>
      <c r="J1045" s="1" t="str">
        <f>"Ні"</f>
        <v>Ні</v>
      </c>
    </row>
    <row r="1046" spans="1:10" ht="45" x14ac:dyDescent="0.25">
      <c r="A1046" s="1" t="str">
        <f>"1054-2020/27"</f>
        <v>1054-2020/27</v>
      </c>
      <c r="B1046" s="1" t="str">
        <f t="shared" si="185"/>
        <v>17.02.2020</v>
      </c>
      <c r="C1046" s="1" t="str">
        <f t="shared" si="178"/>
        <v>Закрито</v>
      </c>
      <c r="D1046" s="1" t="str">
        <f>"Зняття з реєстрації місця проживання"</f>
        <v>Зняття з реєстрації місця проживання</v>
      </c>
      <c r="E1046" s="1" t="str">
        <f>"Реєстрація місця проживання"</f>
        <v>Реєстрація місця проживання</v>
      </c>
      <c r="F1046" s="1" t="str">
        <f>"Відділ реєстрації Новокаховської міської ради"</f>
        <v>Відділ реєстрації Новокаховської міської ради</v>
      </c>
      <c r="G1046" s="1" t="str">
        <f>"1"</f>
        <v>1</v>
      </c>
      <c r="H1046" s="1" t="str">
        <f>"Результат"</f>
        <v>Результат</v>
      </c>
      <c r="I1046" s="1" t="str">
        <f t="shared" si="186"/>
        <v>Позитивний</v>
      </c>
      <c r="J1046" s="1" t="str">
        <f>"Так"</f>
        <v>Так</v>
      </c>
    </row>
    <row r="1047" spans="1:10" ht="45" x14ac:dyDescent="0.25">
      <c r="A1047" s="1" t="str">
        <f>"1067-2020/27"</f>
        <v>1067-2020/27</v>
      </c>
      <c r="B1047" s="1" t="str">
        <f t="shared" si="185"/>
        <v>17.02.2020</v>
      </c>
      <c r="C1047" s="1" t="str">
        <f t="shared" si="178"/>
        <v>Закрито</v>
      </c>
      <c r="D1047" s="1" t="str">
        <f>"Зняття з реєстрації місця проживання"</f>
        <v>Зняття з реєстрації місця проживання</v>
      </c>
      <c r="E1047" s="1" t="str">
        <f>"Реєстрація місця проживання"</f>
        <v>Реєстрація місця проживання</v>
      </c>
      <c r="F1047" s="1" t="str">
        <f>"Відділ реєстрації Новокаховської міської ради"</f>
        <v>Відділ реєстрації Новокаховської міської ради</v>
      </c>
      <c r="G1047" s="1" t="str">
        <f>"1"</f>
        <v>1</v>
      </c>
      <c r="H1047" s="1" t="str">
        <f>"Результат"</f>
        <v>Результат</v>
      </c>
      <c r="I1047" s="1" t="str">
        <f t="shared" si="186"/>
        <v>Позитивний</v>
      </c>
      <c r="J1047" s="1" t="str">
        <f>"Так"</f>
        <v>Так</v>
      </c>
    </row>
    <row r="1048" spans="1:10" ht="105" x14ac:dyDescent="0.25">
      <c r="A1048" s="1" t="str">
        <f>"1064-2020/27"</f>
        <v>1064-2020/27</v>
      </c>
      <c r="B1048" s="1" t="str">
        <f t="shared" si="185"/>
        <v>17.02.2020</v>
      </c>
      <c r="C1048" s="1" t="str">
        <f t="shared" si="178"/>
        <v>Закрито</v>
      </c>
      <c r="D104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48" s="1" t="str">
        <f>"Земельні питання"</f>
        <v>Земельні питання</v>
      </c>
      <c r="F104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48" s="1" t="str">
        <f>"1"</f>
        <v>1</v>
      </c>
      <c r="H1048" s="1" t="str">
        <f>"Результат"</f>
        <v>Результат</v>
      </c>
      <c r="I1048" s="1" t="str">
        <f t="shared" si="186"/>
        <v>Позитивний</v>
      </c>
      <c r="J1048" s="1" t="str">
        <f>"Так"</f>
        <v>Так</v>
      </c>
    </row>
    <row r="1049" spans="1:10" ht="90" x14ac:dyDescent="0.25">
      <c r="A1049" s="1" t="str">
        <f>"1108-2020/27"</f>
        <v>1108-2020/27</v>
      </c>
      <c r="B1049" s="1" t="str">
        <f t="shared" ref="B1049:B1098" si="187">"18.02.2020"</f>
        <v>18.02.2020</v>
      </c>
      <c r="C1049" s="1" t="str">
        <f t="shared" si="178"/>
        <v>Закрито</v>
      </c>
      <c r="D104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49" s="1" t="str">
        <f>"Інші послуги"</f>
        <v>Інші послуги</v>
      </c>
      <c r="F104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49" s="1" t="str">
        <f>"5"</f>
        <v>5</v>
      </c>
      <c r="H1049" s="1" t="str">
        <f>"Результат"</f>
        <v>Результат</v>
      </c>
      <c r="I1049" s="1" t="str">
        <f t="shared" si="186"/>
        <v>Позитивний</v>
      </c>
      <c r="J1049" s="1" t="str">
        <f>"Ні"</f>
        <v>Ні</v>
      </c>
    </row>
    <row r="1050" spans="1:10" ht="225" x14ac:dyDescent="0.25">
      <c r="A1050" s="1" t="str">
        <f>"1100-2020/27"</f>
        <v>1100-2020/27</v>
      </c>
      <c r="B1050" s="1" t="str">
        <f t="shared" si="187"/>
        <v>18.02.2020</v>
      </c>
      <c r="C1050" s="1" t="str">
        <f>"На обробці в адмін. органі"</f>
        <v>На обробці в адмін. органі</v>
      </c>
      <c r="D1050" s="1" t="s">
        <v>1</v>
      </c>
      <c r="E1050" s="1" t="str">
        <f>"Будівництво"</f>
        <v>Будівництво</v>
      </c>
      <c r="F105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050" s="1" t="str">
        <f>"30"</f>
        <v>30</v>
      </c>
      <c r="H1050" s="1" t="str">
        <f>""</f>
        <v/>
      </c>
      <c r="I1050" s="1" t="str">
        <f>""</f>
        <v/>
      </c>
      <c r="J1050" s="1" t="str">
        <f>"Ні"</f>
        <v>Ні</v>
      </c>
    </row>
    <row r="1051" spans="1:10" ht="135" x14ac:dyDescent="0.25">
      <c r="A1051" s="1" t="str">
        <f>"1097-2020/27"</f>
        <v>1097-2020/27</v>
      </c>
      <c r="B1051" s="1" t="str">
        <f t="shared" si="187"/>
        <v>18.02.2020</v>
      </c>
      <c r="C1051" s="1" t="str">
        <f>"Закрито"</f>
        <v>Закрито</v>
      </c>
      <c r="D105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51" s="1" t="str">
        <f>"Земельні питання"</f>
        <v>Земельні питання</v>
      </c>
      <c r="F10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51" s="1" t="str">
        <f>"14"</f>
        <v>14</v>
      </c>
      <c r="H1051" s="1" t="str">
        <f>"Результат"</f>
        <v>Результат</v>
      </c>
      <c r="I1051" s="1" t="str">
        <f>"Позитивний"</f>
        <v>Позитивний</v>
      </c>
      <c r="J1051" s="1" t="str">
        <f>"Ні"</f>
        <v>Ні</v>
      </c>
    </row>
    <row r="1052" spans="1:10" ht="105" x14ac:dyDescent="0.25">
      <c r="A1052" s="1" t="str">
        <f>"1119-2020/27"</f>
        <v>1119-2020/27</v>
      </c>
      <c r="B1052" s="1" t="str">
        <f t="shared" si="187"/>
        <v>18.02.2020</v>
      </c>
      <c r="C1052" s="1" t="str">
        <f>"Закрито"</f>
        <v>Закрито</v>
      </c>
      <c r="D10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52" s="1" t="str">
        <f>"Земельні питання"</f>
        <v>Земельні питання</v>
      </c>
      <c r="F105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52" s="1" t="str">
        <f>"1"</f>
        <v>1</v>
      </c>
      <c r="H1052" s="1" t="str">
        <f>"Результат"</f>
        <v>Результат</v>
      </c>
      <c r="I1052" s="1" t="str">
        <f>"Позитивний"</f>
        <v>Позитивний</v>
      </c>
      <c r="J1052" s="1" t="str">
        <f>"Ні"</f>
        <v>Ні</v>
      </c>
    </row>
    <row r="1053" spans="1:10" ht="45" x14ac:dyDescent="0.25">
      <c r="A1053" s="1" t="str">
        <f>"1083-2020/27"</f>
        <v>1083-2020/27</v>
      </c>
      <c r="B1053" s="1" t="str">
        <f t="shared" si="187"/>
        <v>18.02.2020</v>
      </c>
      <c r="C1053" s="1" t="str">
        <f>"Закрито"</f>
        <v>Закрито</v>
      </c>
      <c r="D1053" s="1" t="str">
        <f>"Реєстрація місця проживання особи"</f>
        <v>Реєстрація місця проживання особи</v>
      </c>
      <c r="E1053" s="1" t="str">
        <f>"Реєстрація місця проживання"</f>
        <v>Реєстрація місця проживання</v>
      </c>
      <c r="F1053" s="1" t="str">
        <f>"Відділ реєстрації Новокаховської міської ради"</f>
        <v>Відділ реєстрації Новокаховської міської ради</v>
      </c>
      <c r="G1053" s="1" t="str">
        <f>"1"</f>
        <v>1</v>
      </c>
      <c r="H1053" s="1" t="str">
        <f>"Результат"</f>
        <v>Результат</v>
      </c>
      <c r="I1053" s="1" t="str">
        <f>"Позитивний"</f>
        <v>Позитивний</v>
      </c>
      <c r="J1053" s="1" t="str">
        <f>"Так"</f>
        <v>Так</v>
      </c>
    </row>
    <row r="1054" spans="1:10" ht="105" x14ac:dyDescent="0.25">
      <c r="A1054" s="1" t="str">
        <f>"1122-2020/27"</f>
        <v>1122-2020/27</v>
      </c>
      <c r="B1054" s="1" t="str">
        <f t="shared" si="187"/>
        <v>18.02.2020</v>
      </c>
      <c r="C1054" s="1" t="str">
        <f>"Закрито"</f>
        <v>Закрито</v>
      </c>
      <c r="D105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54" s="1" t="str">
        <f>"Земельні питання"</f>
        <v>Земельні питання</v>
      </c>
      <c r="F105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54" s="1" t="str">
        <f>"1"</f>
        <v>1</v>
      </c>
      <c r="H1054" s="1" t="str">
        <f>"Результат"</f>
        <v>Результат</v>
      </c>
      <c r="I1054" s="1" t="str">
        <f>"Позитивний"</f>
        <v>Позитивний</v>
      </c>
      <c r="J1054" s="1" t="str">
        <f>"Ні"</f>
        <v>Ні</v>
      </c>
    </row>
    <row r="1055" spans="1:10" ht="195" x14ac:dyDescent="0.25">
      <c r="A1055" s="1" t="str">
        <f>"1114-2020/27"</f>
        <v>1114-2020/27</v>
      </c>
      <c r="B1055" s="1" t="str">
        <f t="shared" si="187"/>
        <v>18.02.2020</v>
      </c>
      <c r="C1055" s="1" t="str">
        <f>"На обробці в адмін. органі"</f>
        <v>На обробці в адмін. органі</v>
      </c>
      <c r="D1055" s="1" t="s">
        <v>13</v>
      </c>
      <c r="E1055" s="1" t="str">
        <f>"Державна реєстрація громадських об’єднань"</f>
        <v>Державна реєстрація громадських об’єднань</v>
      </c>
      <c r="F1055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055" s="1" t="str">
        <f>"15"</f>
        <v>15</v>
      </c>
      <c r="H1055" s="1" t="str">
        <f>"Пром. відповідь"</f>
        <v>Пром. відповідь</v>
      </c>
      <c r="I1055" s="1" t="str">
        <f>"Повідомлення"</f>
        <v>Повідомлення</v>
      </c>
      <c r="J1055" s="1" t="str">
        <f>"Ні"</f>
        <v>Ні</v>
      </c>
    </row>
    <row r="1056" spans="1:10" ht="135" x14ac:dyDescent="0.25">
      <c r="A1056" s="1" t="str">
        <f>"1123-2020/27"</f>
        <v>1123-2020/27</v>
      </c>
      <c r="B1056" s="1" t="str">
        <f t="shared" si="187"/>
        <v>18.02.2020</v>
      </c>
      <c r="C1056" s="1" t="str">
        <f t="shared" ref="C1056:C1095" si="188">"Закрито"</f>
        <v>Закрито</v>
      </c>
      <c r="D105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56" s="1" t="str">
        <f>"Земельні питання"</f>
        <v>Земельні питання</v>
      </c>
      <c r="F10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56" s="1" t="str">
        <f>"14"</f>
        <v>14</v>
      </c>
      <c r="H1056" s="1" t="str">
        <f>"Результат"</f>
        <v>Результат</v>
      </c>
      <c r="I1056" s="1" t="str">
        <f t="shared" ref="I1056:I1087" si="189">"Позитивний"</f>
        <v>Позитивний</v>
      </c>
      <c r="J1056" s="1" t="str">
        <f>"Ні"</f>
        <v>Ні</v>
      </c>
    </row>
    <row r="1057" spans="1:10" ht="135" x14ac:dyDescent="0.25">
      <c r="A1057" s="1" t="str">
        <f>"1091-2020/27"</f>
        <v>1091-2020/27</v>
      </c>
      <c r="B1057" s="1" t="str">
        <f t="shared" si="187"/>
        <v>18.02.2020</v>
      </c>
      <c r="C1057" s="1" t="str">
        <f t="shared" si="188"/>
        <v>Закрито</v>
      </c>
      <c r="D10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57" s="1" t="str">
        <f>"Земельні питання"</f>
        <v>Земельні питання</v>
      </c>
      <c r="F10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57" s="1" t="str">
        <f>"3"</f>
        <v>3</v>
      </c>
      <c r="H1057" s="1" t="str">
        <f>"Результат"</f>
        <v>Результат</v>
      </c>
      <c r="I1057" s="1" t="str">
        <f t="shared" si="189"/>
        <v>Позитивний</v>
      </c>
      <c r="J1057" s="1" t="str">
        <f>"Ні"</f>
        <v>Ні</v>
      </c>
    </row>
    <row r="1058" spans="1:10" ht="45" x14ac:dyDescent="0.25">
      <c r="A1058" s="1" t="str">
        <f>"1089-2020/27"</f>
        <v>1089-2020/27</v>
      </c>
      <c r="B1058" s="1" t="str">
        <f t="shared" si="187"/>
        <v>18.02.2020</v>
      </c>
      <c r="C1058" s="1" t="str">
        <f t="shared" si="188"/>
        <v>Закрито</v>
      </c>
      <c r="D1058" s="1" t="str">
        <f>"Реєстрація місця проживання особи"</f>
        <v>Реєстрація місця проживання особи</v>
      </c>
      <c r="E1058" s="1" t="str">
        <f>"Реєстрація місця проживання"</f>
        <v>Реєстрація місця проживання</v>
      </c>
      <c r="F1058" s="1" t="str">
        <f>"Відділ реєстрації Новокаховської міської ради"</f>
        <v>Відділ реєстрації Новокаховської міської ради</v>
      </c>
      <c r="G1058" s="1" t="str">
        <f>"1"</f>
        <v>1</v>
      </c>
      <c r="H1058" s="1" t="str">
        <f>"Результат"</f>
        <v>Результат</v>
      </c>
      <c r="I1058" s="1" t="str">
        <f t="shared" si="189"/>
        <v>Позитивний</v>
      </c>
      <c r="J1058" s="1" t="str">
        <f>"Так"</f>
        <v>Так</v>
      </c>
    </row>
    <row r="1059" spans="1:10" ht="45" x14ac:dyDescent="0.25">
      <c r="A1059" s="1" t="str">
        <f>"1086-2020/27"</f>
        <v>1086-2020/27</v>
      </c>
      <c r="B1059" s="1" t="str">
        <f t="shared" si="187"/>
        <v>18.02.2020</v>
      </c>
      <c r="C1059" s="1" t="str">
        <f t="shared" si="188"/>
        <v>Закрито</v>
      </c>
      <c r="D1059" s="1" t="str">
        <f>"Зняття з реєстрації місця проживання"</f>
        <v>Зняття з реєстрації місця проживання</v>
      </c>
      <c r="E1059" s="1" t="str">
        <f>"Реєстрація місця проживання"</f>
        <v>Реєстрація місця проживання</v>
      </c>
      <c r="F1059" s="1" t="str">
        <f>"Відділ реєстрації Новокаховської міської ради"</f>
        <v>Відділ реєстрації Новокаховської міської ради</v>
      </c>
      <c r="G1059" s="1" t="str">
        <f>"1"</f>
        <v>1</v>
      </c>
      <c r="H1059" s="1" t="str">
        <f>"Результат"</f>
        <v>Результат</v>
      </c>
      <c r="I1059" s="1" t="str">
        <f t="shared" si="189"/>
        <v>Позитивний</v>
      </c>
      <c r="J1059" s="1" t="str">
        <f>"Так"</f>
        <v>Так</v>
      </c>
    </row>
    <row r="1060" spans="1:10" ht="45" x14ac:dyDescent="0.25">
      <c r="A1060" s="1" t="str">
        <f>"1077-2020/27"</f>
        <v>1077-2020/27</v>
      </c>
      <c r="B1060" s="1" t="str">
        <f t="shared" si="187"/>
        <v>18.02.2020</v>
      </c>
      <c r="C1060" s="1" t="str">
        <f t="shared" si="188"/>
        <v>Закрито</v>
      </c>
      <c r="D1060" s="1" t="str">
        <f>"Реєстрація місця проживання особи"</f>
        <v>Реєстрація місця проживання особи</v>
      </c>
      <c r="E1060" s="1" t="str">
        <f>"Реєстрація місця проживання"</f>
        <v>Реєстрація місця проживання</v>
      </c>
      <c r="F1060" s="1" t="str">
        <f>"Відділ реєстрації Новокаховської міської ради"</f>
        <v>Відділ реєстрації Новокаховської міської ради</v>
      </c>
      <c r="G1060" s="1" t="str">
        <f>"1"</f>
        <v>1</v>
      </c>
      <c r="H1060" s="1" t="str">
        <f>"Результат"</f>
        <v>Результат</v>
      </c>
      <c r="I1060" s="1" t="str">
        <f t="shared" si="189"/>
        <v>Позитивний</v>
      </c>
      <c r="J1060" s="1" t="str">
        <f>"Так"</f>
        <v>Так</v>
      </c>
    </row>
    <row r="1061" spans="1:10" ht="135" x14ac:dyDescent="0.25">
      <c r="A1061" s="1" t="str">
        <f>"1105-2020/27"</f>
        <v>1105-2020/27</v>
      </c>
      <c r="B1061" s="1" t="str">
        <f t="shared" si="187"/>
        <v>18.02.2020</v>
      </c>
      <c r="C1061" s="1" t="str">
        <f t="shared" si="188"/>
        <v>Закрито</v>
      </c>
      <c r="D106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61" s="1" t="str">
        <f>"Земельні питання"</f>
        <v>Земельні питання</v>
      </c>
      <c r="F10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61" s="1" t="str">
        <f>"3"</f>
        <v>3</v>
      </c>
      <c r="H1061" s="1" t="str">
        <f>"Результат"</f>
        <v>Результат</v>
      </c>
      <c r="I1061" s="1" t="str">
        <f t="shared" si="189"/>
        <v>Позитивний</v>
      </c>
      <c r="J1061" s="1" t="str">
        <f>"Ні"</f>
        <v>Ні</v>
      </c>
    </row>
    <row r="1062" spans="1:10" ht="135" x14ac:dyDescent="0.25">
      <c r="A1062" s="1" t="str">
        <f>"1116-2020/27"</f>
        <v>1116-2020/27</v>
      </c>
      <c r="B1062" s="1" t="str">
        <f t="shared" si="187"/>
        <v>18.02.2020</v>
      </c>
      <c r="C1062" s="1" t="str">
        <f t="shared" si="188"/>
        <v>Закрито</v>
      </c>
      <c r="D106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62" s="1" t="str">
        <f>"Земельні питання"</f>
        <v>Земельні питання</v>
      </c>
      <c r="F10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62" s="1" t="str">
        <f>"3"</f>
        <v>3</v>
      </c>
      <c r="H1062" s="1" t="str">
        <f>"Результат"</f>
        <v>Результат</v>
      </c>
      <c r="I1062" s="1" t="str">
        <f t="shared" si="189"/>
        <v>Позитивний</v>
      </c>
      <c r="J1062" s="1" t="str">
        <f>"Ні"</f>
        <v>Ні</v>
      </c>
    </row>
    <row r="1063" spans="1:10" ht="45" x14ac:dyDescent="0.25">
      <c r="A1063" s="1" t="str">
        <f>"1088-2020/27"</f>
        <v>1088-2020/27</v>
      </c>
      <c r="B1063" s="1" t="str">
        <f t="shared" si="187"/>
        <v>18.02.2020</v>
      </c>
      <c r="C1063" s="1" t="str">
        <f t="shared" si="188"/>
        <v>Закрито</v>
      </c>
      <c r="D1063" s="1" t="str">
        <f>"Реєстрація місця проживання особи"</f>
        <v>Реєстрація місця проживання особи</v>
      </c>
      <c r="E1063" s="1" t="str">
        <f>"Реєстрація місця проживання"</f>
        <v>Реєстрація місця проживання</v>
      </c>
      <c r="F1063" s="1" t="str">
        <f>"Відділ реєстрації Новокаховської міської ради"</f>
        <v>Відділ реєстрації Новокаховської міської ради</v>
      </c>
      <c r="G1063" s="1" t="str">
        <f>"1"</f>
        <v>1</v>
      </c>
      <c r="H1063" s="1" t="str">
        <f>"Результат"</f>
        <v>Результат</v>
      </c>
      <c r="I1063" s="1" t="str">
        <f t="shared" si="189"/>
        <v>Позитивний</v>
      </c>
      <c r="J1063" s="1" t="str">
        <f>"Так"</f>
        <v>Так</v>
      </c>
    </row>
    <row r="1064" spans="1:10" ht="90" x14ac:dyDescent="0.25">
      <c r="A1064" s="1" t="str">
        <f>"1095-2020/27"</f>
        <v>1095-2020/27</v>
      </c>
      <c r="B1064" s="1" t="str">
        <f t="shared" si="187"/>
        <v>18.02.2020</v>
      </c>
      <c r="C1064" s="1" t="str">
        <f t="shared" si="188"/>
        <v>Закрито</v>
      </c>
      <c r="D106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64" s="1" t="str">
        <f>"Інші послуги"</f>
        <v>Інші послуги</v>
      </c>
      <c r="F106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64" s="1" t="str">
        <f>"5"</f>
        <v>5</v>
      </c>
      <c r="H1064" s="1" t="str">
        <f>"Результат"</f>
        <v>Результат</v>
      </c>
      <c r="I1064" s="1" t="str">
        <f t="shared" si="189"/>
        <v>Позитивний</v>
      </c>
      <c r="J1064" s="1" t="str">
        <f>"Ні"</f>
        <v>Ні</v>
      </c>
    </row>
    <row r="1065" spans="1:10" ht="135" x14ac:dyDescent="0.25">
      <c r="A1065" s="1" t="str">
        <f>"1110-2020/27"</f>
        <v>1110-2020/27</v>
      </c>
      <c r="B1065" s="1" t="str">
        <f t="shared" si="187"/>
        <v>18.02.2020</v>
      </c>
      <c r="C1065" s="1" t="str">
        <f t="shared" si="188"/>
        <v>Закрито</v>
      </c>
      <c r="D10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65" s="1" t="str">
        <f>"Земельні питання"</f>
        <v>Земельні питання</v>
      </c>
      <c r="F10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65" s="1" t="str">
        <f>"1"</f>
        <v>1</v>
      </c>
      <c r="H1065" s="1" t="str">
        <f>"Результат"</f>
        <v>Результат</v>
      </c>
      <c r="I1065" s="1" t="str">
        <f t="shared" si="189"/>
        <v>Позитивний</v>
      </c>
      <c r="J1065" s="1" t="str">
        <f>"Так"</f>
        <v>Так</v>
      </c>
    </row>
    <row r="1066" spans="1:10" ht="135" x14ac:dyDescent="0.25">
      <c r="A1066" s="1" t="str">
        <f>"1109-2020/27"</f>
        <v>1109-2020/27</v>
      </c>
      <c r="B1066" s="1" t="str">
        <f t="shared" si="187"/>
        <v>18.02.2020</v>
      </c>
      <c r="C1066" s="1" t="str">
        <f t="shared" si="188"/>
        <v>Закрито</v>
      </c>
      <c r="D106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66" s="1" t="str">
        <f>"Земельні питання"</f>
        <v>Земельні питання</v>
      </c>
      <c r="F10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66" s="1" t="str">
        <f>"1"</f>
        <v>1</v>
      </c>
      <c r="H1066" s="1" t="str">
        <f>"Результат"</f>
        <v>Результат</v>
      </c>
      <c r="I1066" s="1" t="str">
        <f t="shared" si="189"/>
        <v>Позитивний</v>
      </c>
      <c r="J1066" s="1" t="str">
        <f>"Так"</f>
        <v>Так</v>
      </c>
    </row>
    <row r="1067" spans="1:10" ht="90" x14ac:dyDescent="0.25">
      <c r="A1067" s="1" t="str">
        <f>"1102-2020/27"</f>
        <v>1102-2020/27</v>
      </c>
      <c r="B1067" s="1" t="str">
        <f t="shared" si="187"/>
        <v>18.02.2020</v>
      </c>
      <c r="C1067" s="1" t="str">
        <f t="shared" si="188"/>
        <v>Закрито</v>
      </c>
      <c r="D106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67" s="1" t="str">
        <f>"Інші послуги"</f>
        <v>Інші послуги</v>
      </c>
      <c r="F106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67" s="1" t="str">
        <f>"5"</f>
        <v>5</v>
      </c>
      <c r="H1067" s="1" t="str">
        <f>"Результат"</f>
        <v>Результат</v>
      </c>
      <c r="I1067" s="1" t="str">
        <f t="shared" si="189"/>
        <v>Позитивний</v>
      </c>
      <c r="J1067" s="1" t="str">
        <f>"Ні"</f>
        <v>Ні</v>
      </c>
    </row>
    <row r="1068" spans="1:10" ht="135" x14ac:dyDescent="0.25">
      <c r="A1068" s="1" t="str">
        <f>"1096-2020/27"</f>
        <v>1096-2020/27</v>
      </c>
      <c r="B1068" s="1" t="str">
        <f t="shared" si="187"/>
        <v>18.02.2020</v>
      </c>
      <c r="C1068" s="1" t="str">
        <f t="shared" si="188"/>
        <v>Закрито</v>
      </c>
      <c r="D106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068" s="1" t="str">
        <f>"Земельні питання"</f>
        <v>Земельні питання</v>
      </c>
      <c r="F10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68" s="1" t="str">
        <f>"14"</f>
        <v>14</v>
      </c>
      <c r="H1068" s="1" t="str">
        <f>"Результат"</f>
        <v>Результат</v>
      </c>
      <c r="I1068" s="1" t="str">
        <f t="shared" si="189"/>
        <v>Позитивний</v>
      </c>
      <c r="J1068" s="1" t="str">
        <f>"Ні"</f>
        <v>Ні</v>
      </c>
    </row>
    <row r="1069" spans="1:10" ht="90" x14ac:dyDescent="0.25">
      <c r="A1069" s="1" t="str">
        <f>"1082-2020/27"</f>
        <v>1082-2020/27</v>
      </c>
      <c r="B1069" s="1" t="str">
        <f t="shared" si="187"/>
        <v>18.02.2020</v>
      </c>
      <c r="C1069" s="1" t="str">
        <f t="shared" si="188"/>
        <v>Закрито</v>
      </c>
      <c r="D106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69" s="1" t="str">
        <f>"Інші послуги"</f>
        <v>Інші послуги</v>
      </c>
      <c r="F106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69" s="1" t="str">
        <f>"5"</f>
        <v>5</v>
      </c>
      <c r="H1069" s="1" t="str">
        <f>"Результат"</f>
        <v>Результат</v>
      </c>
      <c r="I1069" s="1" t="str">
        <f t="shared" si="189"/>
        <v>Позитивний</v>
      </c>
      <c r="J1069" s="1" t="str">
        <f>"Ні"</f>
        <v>Ні</v>
      </c>
    </row>
    <row r="1070" spans="1:10" ht="45" x14ac:dyDescent="0.25">
      <c r="A1070" s="1" t="str">
        <f>"1093-2020/27"</f>
        <v>1093-2020/27</v>
      </c>
      <c r="B1070" s="1" t="str">
        <f t="shared" si="187"/>
        <v>18.02.2020</v>
      </c>
      <c r="C1070" s="1" t="str">
        <f t="shared" si="188"/>
        <v>Закрито</v>
      </c>
      <c r="D1070" s="1" t="str">
        <f>"Реєстрація місця проживання особи"</f>
        <v>Реєстрація місця проживання особи</v>
      </c>
      <c r="E1070" s="1" t="str">
        <f>"Реєстрація місця проживання"</f>
        <v>Реєстрація місця проживання</v>
      </c>
      <c r="F1070" s="1" t="str">
        <f>"Відділ реєстрації Новокаховської міської ради"</f>
        <v>Відділ реєстрації Новокаховської міської ради</v>
      </c>
      <c r="G1070" s="1" t="str">
        <f>"1"</f>
        <v>1</v>
      </c>
      <c r="H1070" s="1" t="str">
        <f>"Результат"</f>
        <v>Результат</v>
      </c>
      <c r="I1070" s="1" t="str">
        <f t="shared" si="189"/>
        <v>Позитивний</v>
      </c>
      <c r="J1070" s="1" t="str">
        <f>"Так"</f>
        <v>Так</v>
      </c>
    </row>
    <row r="1071" spans="1:10" ht="45" x14ac:dyDescent="0.25">
      <c r="A1071" s="1" t="str">
        <f>"1075-2020/27"</f>
        <v>1075-2020/27</v>
      </c>
      <c r="B1071" s="1" t="str">
        <f t="shared" si="187"/>
        <v>18.02.2020</v>
      </c>
      <c r="C1071" s="1" t="str">
        <f t="shared" si="188"/>
        <v>Закрито</v>
      </c>
      <c r="D1071" s="1" t="str">
        <f>"Реєстрація місця проживання особи"</f>
        <v>Реєстрація місця проживання особи</v>
      </c>
      <c r="E1071" s="1" t="str">
        <f>"Реєстрація місця проживання"</f>
        <v>Реєстрація місця проживання</v>
      </c>
      <c r="F1071" s="1" t="str">
        <f>"Відділ реєстрації Новокаховської міської ради"</f>
        <v>Відділ реєстрації Новокаховської міської ради</v>
      </c>
      <c r="G1071" s="1" t="str">
        <f>"1"</f>
        <v>1</v>
      </c>
      <c r="H1071" s="1" t="str">
        <f>"Результат"</f>
        <v>Результат</v>
      </c>
      <c r="I1071" s="1" t="str">
        <f t="shared" si="189"/>
        <v>Позитивний</v>
      </c>
      <c r="J1071" s="1" t="str">
        <f>"Так"</f>
        <v>Так</v>
      </c>
    </row>
    <row r="1072" spans="1:10" ht="45" x14ac:dyDescent="0.25">
      <c r="A1072" s="1" t="str">
        <f>"1092-2020/27"</f>
        <v>1092-2020/27</v>
      </c>
      <c r="B1072" s="1" t="str">
        <f t="shared" si="187"/>
        <v>18.02.2020</v>
      </c>
      <c r="C1072" s="1" t="str">
        <f t="shared" si="188"/>
        <v>Закрито</v>
      </c>
      <c r="D1072" s="1" t="str">
        <f>"Реєстрація місця проживання особи"</f>
        <v>Реєстрація місця проживання особи</v>
      </c>
      <c r="E1072" s="1" t="str">
        <f>"Реєстрація місця проживання"</f>
        <v>Реєстрація місця проживання</v>
      </c>
      <c r="F1072" s="1" t="str">
        <f>"Відділ реєстрації Новокаховської міської ради"</f>
        <v>Відділ реєстрації Новокаховської міської ради</v>
      </c>
      <c r="G1072" s="1" t="str">
        <f>"1"</f>
        <v>1</v>
      </c>
      <c r="H1072" s="1" t="str">
        <f>"Результат"</f>
        <v>Результат</v>
      </c>
      <c r="I1072" s="1" t="str">
        <f t="shared" si="189"/>
        <v>Позитивний</v>
      </c>
      <c r="J1072" s="1" t="str">
        <f>"Так"</f>
        <v>Так</v>
      </c>
    </row>
    <row r="1073" spans="1:10" ht="90" x14ac:dyDescent="0.25">
      <c r="A1073" s="1" t="str">
        <f>"1087-2020/27"</f>
        <v>1087-2020/27</v>
      </c>
      <c r="B1073" s="1" t="str">
        <f t="shared" si="187"/>
        <v>18.02.2020</v>
      </c>
      <c r="C1073" s="1" t="str">
        <f t="shared" si="188"/>
        <v>Закрито</v>
      </c>
      <c r="D107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73" s="1" t="str">
        <f>"Інші послуги"</f>
        <v>Інші послуги</v>
      </c>
      <c r="F107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73" s="1" t="str">
        <f>"5"</f>
        <v>5</v>
      </c>
      <c r="H1073" s="1" t="str">
        <f>"Результат"</f>
        <v>Результат</v>
      </c>
      <c r="I1073" s="1" t="str">
        <f t="shared" si="189"/>
        <v>Позитивний</v>
      </c>
      <c r="J1073" s="1" t="str">
        <f>"Ні"</f>
        <v>Ні</v>
      </c>
    </row>
    <row r="1074" spans="1:10" ht="45" x14ac:dyDescent="0.25">
      <c r="A1074" s="1" t="str">
        <f>"1078-2020/27"</f>
        <v>1078-2020/27</v>
      </c>
      <c r="B1074" s="1" t="str">
        <f t="shared" si="187"/>
        <v>18.02.2020</v>
      </c>
      <c r="C1074" s="1" t="str">
        <f t="shared" si="188"/>
        <v>Закрито</v>
      </c>
      <c r="D1074" s="1" t="str">
        <f>"Зняття з реєстрації місця проживання"</f>
        <v>Зняття з реєстрації місця проживання</v>
      </c>
      <c r="E1074" s="1" t="str">
        <f t="shared" ref="E1074:E1080" si="190">"Реєстрація місця проживання"</f>
        <v>Реєстрація місця проживання</v>
      </c>
      <c r="F1074" s="1" t="str">
        <f t="shared" ref="F1074:F1080" si="191">"Відділ реєстрації Новокаховської міської ради"</f>
        <v>Відділ реєстрації Новокаховської міської ради</v>
      </c>
      <c r="G1074" s="1" t="str">
        <f t="shared" ref="G1074:G1081" si="192">"1"</f>
        <v>1</v>
      </c>
      <c r="H1074" s="1" t="str">
        <f>"Результат"</f>
        <v>Результат</v>
      </c>
      <c r="I1074" s="1" t="str">
        <f t="shared" si="189"/>
        <v>Позитивний</v>
      </c>
      <c r="J1074" s="1" t="str">
        <f t="shared" ref="J1074:J1080" si="193">"Так"</f>
        <v>Так</v>
      </c>
    </row>
    <row r="1075" spans="1:10" ht="45" x14ac:dyDescent="0.25">
      <c r="A1075" s="1" t="str">
        <f>"1080-2020/27"</f>
        <v>1080-2020/27</v>
      </c>
      <c r="B1075" s="1" t="str">
        <f t="shared" si="187"/>
        <v>18.02.2020</v>
      </c>
      <c r="C1075" s="1" t="str">
        <f t="shared" si="188"/>
        <v>Закрито</v>
      </c>
      <c r="D1075" s="1" t="str">
        <f>"Реєстрація місця проживання особи"</f>
        <v>Реєстрація місця проживання особи</v>
      </c>
      <c r="E1075" s="1" t="str">
        <f t="shared" si="190"/>
        <v>Реєстрація місця проживання</v>
      </c>
      <c r="F1075" s="1" t="str">
        <f t="shared" si="191"/>
        <v>Відділ реєстрації Новокаховської міської ради</v>
      </c>
      <c r="G1075" s="1" t="str">
        <f t="shared" si="192"/>
        <v>1</v>
      </c>
      <c r="H1075" s="1" t="str">
        <f>"Результат"</f>
        <v>Результат</v>
      </c>
      <c r="I1075" s="1" t="str">
        <f t="shared" si="189"/>
        <v>Позитивний</v>
      </c>
      <c r="J1075" s="1" t="str">
        <f t="shared" si="193"/>
        <v>Так</v>
      </c>
    </row>
    <row r="1076" spans="1:10" ht="45" x14ac:dyDescent="0.25">
      <c r="A1076" s="1" t="str">
        <f>"1106-2020/27"</f>
        <v>1106-2020/27</v>
      </c>
      <c r="B1076" s="1" t="str">
        <f t="shared" si="187"/>
        <v>18.02.2020</v>
      </c>
      <c r="C1076" s="1" t="str">
        <f t="shared" si="188"/>
        <v>Закрито</v>
      </c>
      <c r="D1076" s="1" t="str">
        <f>"Зняття з реєстрації місця проживання"</f>
        <v>Зняття з реєстрації місця проживання</v>
      </c>
      <c r="E1076" s="1" t="str">
        <f t="shared" si="190"/>
        <v>Реєстрація місця проживання</v>
      </c>
      <c r="F1076" s="1" t="str">
        <f t="shared" si="191"/>
        <v>Відділ реєстрації Новокаховської міської ради</v>
      </c>
      <c r="G1076" s="1" t="str">
        <f t="shared" si="192"/>
        <v>1</v>
      </c>
      <c r="H1076" s="1" t="str">
        <f>"Результат"</f>
        <v>Результат</v>
      </c>
      <c r="I1076" s="1" t="str">
        <f t="shared" si="189"/>
        <v>Позитивний</v>
      </c>
      <c r="J1076" s="1" t="str">
        <f t="shared" si="193"/>
        <v>Так</v>
      </c>
    </row>
    <row r="1077" spans="1:10" ht="45" x14ac:dyDescent="0.25">
      <c r="A1077" s="1" t="str">
        <f>"1085-2020/27"</f>
        <v>1085-2020/27</v>
      </c>
      <c r="B1077" s="1" t="str">
        <f t="shared" si="187"/>
        <v>18.02.2020</v>
      </c>
      <c r="C1077" s="1" t="str">
        <f t="shared" si="188"/>
        <v>Закрито</v>
      </c>
      <c r="D1077" s="1" t="str">
        <f>"Зняття з реєстрації місця проживання"</f>
        <v>Зняття з реєстрації місця проживання</v>
      </c>
      <c r="E1077" s="1" t="str">
        <f t="shared" si="190"/>
        <v>Реєстрація місця проживання</v>
      </c>
      <c r="F1077" s="1" t="str">
        <f t="shared" si="191"/>
        <v>Відділ реєстрації Новокаховської міської ради</v>
      </c>
      <c r="G1077" s="1" t="str">
        <f t="shared" si="192"/>
        <v>1</v>
      </c>
      <c r="H1077" s="1" t="str">
        <f>"Результат"</f>
        <v>Результат</v>
      </c>
      <c r="I1077" s="1" t="str">
        <f t="shared" si="189"/>
        <v>Позитивний</v>
      </c>
      <c r="J1077" s="1" t="str">
        <f t="shared" si="193"/>
        <v>Так</v>
      </c>
    </row>
    <row r="1078" spans="1:10" ht="45" x14ac:dyDescent="0.25">
      <c r="A1078" s="1" t="str">
        <f>"1104-2020/27"</f>
        <v>1104-2020/27</v>
      </c>
      <c r="B1078" s="1" t="str">
        <f t="shared" si="187"/>
        <v>18.02.2020</v>
      </c>
      <c r="C1078" s="1" t="str">
        <f t="shared" si="188"/>
        <v>Закрито</v>
      </c>
      <c r="D1078" s="1" t="str">
        <f>"Зняття з реєстрації місця проживання"</f>
        <v>Зняття з реєстрації місця проживання</v>
      </c>
      <c r="E1078" s="1" t="str">
        <f t="shared" si="190"/>
        <v>Реєстрація місця проживання</v>
      </c>
      <c r="F1078" s="1" t="str">
        <f t="shared" si="191"/>
        <v>Відділ реєстрації Новокаховської міської ради</v>
      </c>
      <c r="G1078" s="1" t="str">
        <f t="shared" si="192"/>
        <v>1</v>
      </c>
      <c r="H1078" s="1" t="str">
        <f>"Результат"</f>
        <v>Результат</v>
      </c>
      <c r="I1078" s="1" t="str">
        <f t="shared" si="189"/>
        <v>Позитивний</v>
      </c>
      <c r="J1078" s="1" t="str">
        <f t="shared" si="193"/>
        <v>Так</v>
      </c>
    </row>
    <row r="1079" spans="1:10" ht="45" x14ac:dyDescent="0.25">
      <c r="A1079" s="1" t="str">
        <f>"1094-2020/27"</f>
        <v>1094-2020/27</v>
      </c>
      <c r="B1079" s="1" t="str">
        <f t="shared" si="187"/>
        <v>18.02.2020</v>
      </c>
      <c r="C1079" s="1" t="str">
        <f t="shared" si="188"/>
        <v>Закрито</v>
      </c>
      <c r="D1079" s="1" t="str">
        <f>"Реєстрація місця проживання особи"</f>
        <v>Реєстрація місця проживання особи</v>
      </c>
      <c r="E1079" s="1" t="str">
        <f t="shared" si="190"/>
        <v>Реєстрація місця проживання</v>
      </c>
      <c r="F1079" s="1" t="str">
        <f t="shared" si="191"/>
        <v>Відділ реєстрації Новокаховської міської ради</v>
      </c>
      <c r="G1079" s="1" t="str">
        <f t="shared" si="192"/>
        <v>1</v>
      </c>
      <c r="H1079" s="1" t="str">
        <f>"Результат"</f>
        <v>Результат</v>
      </c>
      <c r="I1079" s="1" t="str">
        <f t="shared" si="189"/>
        <v>Позитивний</v>
      </c>
      <c r="J1079" s="1" t="str">
        <f t="shared" si="193"/>
        <v>Так</v>
      </c>
    </row>
    <row r="1080" spans="1:10" ht="45" x14ac:dyDescent="0.25">
      <c r="A1080" s="1" t="str">
        <f>"1101-2020/27"</f>
        <v>1101-2020/27</v>
      </c>
      <c r="B1080" s="1" t="str">
        <f t="shared" si="187"/>
        <v>18.02.2020</v>
      </c>
      <c r="C1080" s="1" t="str">
        <f t="shared" si="188"/>
        <v>Закрито</v>
      </c>
      <c r="D1080" s="1" t="str">
        <f>"Реєстрація місця проживання особи"</f>
        <v>Реєстрація місця проживання особи</v>
      </c>
      <c r="E1080" s="1" t="str">
        <f t="shared" si="190"/>
        <v>Реєстрація місця проживання</v>
      </c>
      <c r="F1080" s="1" t="str">
        <f t="shared" si="191"/>
        <v>Відділ реєстрації Новокаховської міської ради</v>
      </c>
      <c r="G1080" s="1" t="str">
        <f t="shared" si="192"/>
        <v>1</v>
      </c>
      <c r="H1080" s="1" t="str">
        <f>"Результат"</f>
        <v>Результат</v>
      </c>
      <c r="I1080" s="1" t="str">
        <f t="shared" si="189"/>
        <v>Позитивний</v>
      </c>
      <c r="J1080" s="1" t="str">
        <f t="shared" si="193"/>
        <v>Так</v>
      </c>
    </row>
    <row r="1081" spans="1:10" ht="105" x14ac:dyDescent="0.25">
      <c r="A1081" s="1" t="str">
        <f>"1121-2020/27"</f>
        <v>1121-2020/27</v>
      </c>
      <c r="B1081" s="1" t="str">
        <f t="shared" si="187"/>
        <v>18.02.2020</v>
      </c>
      <c r="C1081" s="1" t="str">
        <f t="shared" si="188"/>
        <v>Закрито</v>
      </c>
      <c r="D108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81" s="1" t="str">
        <f>"Земельні питання"</f>
        <v>Земельні питання</v>
      </c>
      <c r="F108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81" s="1" t="str">
        <f t="shared" si="192"/>
        <v>1</v>
      </c>
      <c r="H1081" s="1" t="str">
        <f>"Результат"</f>
        <v>Результат</v>
      </c>
      <c r="I1081" s="1" t="str">
        <f t="shared" si="189"/>
        <v>Позитивний</v>
      </c>
      <c r="J1081" s="1" t="str">
        <f>"Ні"</f>
        <v>Ні</v>
      </c>
    </row>
    <row r="1082" spans="1:10" ht="90" x14ac:dyDescent="0.25">
      <c r="A1082" s="1" t="str">
        <f>"1081-2020/27"</f>
        <v>1081-2020/27</v>
      </c>
      <c r="B1082" s="1" t="str">
        <f t="shared" si="187"/>
        <v>18.02.2020</v>
      </c>
      <c r="C1082" s="1" t="str">
        <f t="shared" si="188"/>
        <v>Закрито</v>
      </c>
      <c r="D108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82" s="1" t="str">
        <f>"Інші послуги"</f>
        <v>Інші послуги</v>
      </c>
      <c r="F108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82" s="1" t="str">
        <f>"5"</f>
        <v>5</v>
      </c>
      <c r="H1082" s="1" t="str">
        <f>"Результат"</f>
        <v>Результат</v>
      </c>
      <c r="I1082" s="1" t="str">
        <f t="shared" si="189"/>
        <v>Позитивний</v>
      </c>
      <c r="J1082" s="1" t="str">
        <f>"Ні"</f>
        <v>Ні</v>
      </c>
    </row>
    <row r="1083" spans="1:10" ht="45" x14ac:dyDescent="0.25">
      <c r="A1083" s="1" t="str">
        <f>"1079-2020/27"</f>
        <v>1079-2020/27</v>
      </c>
      <c r="B1083" s="1" t="str">
        <f t="shared" si="187"/>
        <v>18.02.2020</v>
      </c>
      <c r="C1083" s="1" t="str">
        <f t="shared" si="188"/>
        <v>Закрито</v>
      </c>
      <c r="D1083" s="1" t="str">
        <f>"Зняття з реєстрації місця проживання"</f>
        <v>Зняття з реєстрації місця проживання</v>
      </c>
      <c r="E1083" s="1" t="str">
        <f>"Реєстрація місця проживання"</f>
        <v>Реєстрація місця проживання</v>
      </c>
      <c r="F1083" s="1" t="str">
        <f>"Відділ реєстрації Новокаховської міської ради"</f>
        <v>Відділ реєстрації Новокаховської міської ради</v>
      </c>
      <c r="G1083" s="1" t="str">
        <f>"1"</f>
        <v>1</v>
      </c>
      <c r="H1083" s="1" t="str">
        <f>"Результат"</f>
        <v>Результат</v>
      </c>
      <c r="I1083" s="1" t="str">
        <f t="shared" si="189"/>
        <v>Позитивний</v>
      </c>
      <c r="J1083" s="1" t="str">
        <f>"Так"</f>
        <v>Так</v>
      </c>
    </row>
    <row r="1084" spans="1:10" ht="120" x14ac:dyDescent="0.25">
      <c r="A1084" s="1" t="str">
        <f>"1099-2020/27"</f>
        <v>1099-2020/27</v>
      </c>
      <c r="B1084" s="1" t="str">
        <f t="shared" si="187"/>
        <v>18.02.2020</v>
      </c>
      <c r="C1084" s="1" t="str">
        <f t="shared" si="188"/>
        <v>Закрито</v>
      </c>
      <c r="D1084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084" s="1" t="str">
        <f>"Будівництво"</f>
        <v>Будівництво</v>
      </c>
      <c r="F108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084" s="1" t="str">
        <f>"10"</f>
        <v>10</v>
      </c>
      <c r="H1084" s="1" t="str">
        <f>"Результат"</f>
        <v>Результат</v>
      </c>
      <c r="I1084" s="1" t="str">
        <f t="shared" si="189"/>
        <v>Позитивний</v>
      </c>
      <c r="J1084" s="1" t="str">
        <f>"Ні"</f>
        <v>Ні</v>
      </c>
    </row>
    <row r="1085" spans="1:10" ht="135" x14ac:dyDescent="0.25">
      <c r="A1085" s="1" t="str">
        <f>"1113-2020/27"</f>
        <v>1113-2020/27</v>
      </c>
      <c r="B1085" s="1" t="str">
        <f t="shared" si="187"/>
        <v>18.02.2020</v>
      </c>
      <c r="C1085" s="1" t="str">
        <f t="shared" si="188"/>
        <v>Закрито</v>
      </c>
      <c r="D108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85" s="1" t="str">
        <f>"Земельні питання"</f>
        <v>Земельні питання</v>
      </c>
      <c r="F10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85" s="1" t="str">
        <f>"1"</f>
        <v>1</v>
      </c>
      <c r="H1085" s="1" t="str">
        <f>"Результат"</f>
        <v>Результат</v>
      </c>
      <c r="I1085" s="1" t="str">
        <f t="shared" si="189"/>
        <v>Позитивний</v>
      </c>
      <c r="J1085" s="1" t="str">
        <f>"Так"</f>
        <v>Так</v>
      </c>
    </row>
    <row r="1086" spans="1:10" ht="105" x14ac:dyDescent="0.25">
      <c r="A1086" s="1" t="str">
        <f>"1120-2020/27"</f>
        <v>1120-2020/27</v>
      </c>
      <c r="B1086" s="1" t="str">
        <f t="shared" si="187"/>
        <v>18.02.2020</v>
      </c>
      <c r="C1086" s="1" t="str">
        <f t="shared" si="188"/>
        <v>Закрито</v>
      </c>
      <c r="D108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86" s="1" t="str">
        <f>"Земельні питання"</f>
        <v>Земельні питання</v>
      </c>
      <c r="F108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086" s="1" t="str">
        <f>"1"</f>
        <v>1</v>
      </c>
      <c r="H1086" s="1" t="str">
        <f>"Результат"</f>
        <v>Результат</v>
      </c>
      <c r="I1086" s="1" t="str">
        <f t="shared" si="189"/>
        <v>Позитивний</v>
      </c>
      <c r="J1086" s="1" t="str">
        <f>"Ні"</f>
        <v>Ні</v>
      </c>
    </row>
    <row r="1087" spans="1:10" ht="135" x14ac:dyDescent="0.25">
      <c r="A1087" s="1" t="str">
        <f>"8108-2020/27"</f>
        <v>8108-2020/27</v>
      </c>
      <c r="B1087" s="1" t="str">
        <f t="shared" si="187"/>
        <v>18.02.2020</v>
      </c>
      <c r="C1087" s="1" t="str">
        <f t="shared" si="188"/>
        <v>Закрито</v>
      </c>
      <c r="D10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87" s="1" t="str">
        <f>"Земельні питання"</f>
        <v>Земельні питання</v>
      </c>
      <c r="F10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87" s="1" t="str">
        <f>"1"</f>
        <v>1</v>
      </c>
      <c r="H1087" s="1" t="str">
        <f>"Результат"</f>
        <v>Результат</v>
      </c>
      <c r="I1087" s="1" t="str">
        <f t="shared" si="189"/>
        <v>Позитивний</v>
      </c>
      <c r="J1087" s="1" t="str">
        <f>"Так"</f>
        <v>Так</v>
      </c>
    </row>
    <row r="1088" spans="1:10" ht="45" x14ac:dyDescent="0.25">
      <c r="A1088" s="1" t="str">
        <f>"1090-2020/27"</f>
        <v>1090-2020/27</v>
      </c>
      <c r="B1088" s="1" t="str">
        <f t="shared" si="187"/>
        <v>18.02.2020</v>
      </c>
      <c r="C1088" s="1" t="str">
        <f t="shared" si="188"/>
        <v>Закрито</v>
      </c>
      <c r="D1088" s="1" t="str">
        <f>"Реєстрація місця проживання особи"</f>
        <v>Реєстрація місця проживання особи</v>
      </c>
      <c r="E1088" s="1" t="str">
        <f>"Реєстрація місця проживання"</f>
        <v>Реєстрація місця проживання</v>
      </c>
      <c r="F1088" s="1" t="str">
        <f>"Відділ реєстрації Новокаховської міської ради"</f>
        <v>Відділ реєстрації Новокаховської міської ради</v>
      </c>
      <c r="G1088" s="1" t="str">
        <f>"1"</f>
        <v>1</v>
      </c>
      <c r="H1088" s="1" t="str">
        <f>"Результат"</f>
        <v>Результат</v>
      </c>
      <c r="I1088" s="1" t="str">
        <f t="shared" ref="I1088:I1119" si="194">"Позитивний"</f>
        <v>Позитивний</v>
      </c>
      <c r="J1088" s="1" t="str">
        <f>"Так"</f>
        <v>Так</v>
      </c>
    </row>
    <row r="1089" spans="1:10" ht="90" x14ac:dyDescent="0.25">
      <c r="A1089" s="1" t="str">
        <f>"1076-2020/27"</f>
        <v>1076-2020/27</v>
      </c>
      <c r="B1089" s="1" t="str">
        <f t="shared" si="187"/>
        <v>18.02.2020</v>
      </c>
      <c r="C1089" s="1" t="str">
        <f t="shared" si="188"/>
        <v>Закрито</v>
      </c>
      <c r="D108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89" s="1" t="str">
        <f>"Інші послуги"</f>
        <v>Інші послуги</v>
      </c>
      <c r="F108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89" s="1" t="str">
        <f>"5"</f>
        <v>5</v>
      </c>
      <c r="H1089" s="1" t="str">
        <f>"Результат"</f>
        <v>Результат</v>
      </c>
      <c r="I1089" s="1" t="str">
        <f t="shared" si="194"/>
        <v>Позитивний</v>
      </c>
      <c r="J1089" s="1" t="str">
        <f>"Ні"</f>
        <v>Ні</v>
      </c>
    </row>
    <row r="1090" spans="1:10" ht="135" x14ac:dyDescent="0.25">
      <c r="A1090" s="1" t="str">
        <f>"1112-2020/27"</f>
        <v>1112-2020/27</v>
      </c>
      <c r="B1090" s="1" t="str">
        <f t="shared" si="187"/>
        <v>18.02.2020</v>
      </c>
      <c r="C1090" s="1" t="str">
        <f t="shared" si="188"/>
        <v>Закрито</v>
      </c>
      <c r="D10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0" s="1" t="str">
        <f>"Земельні питання"</f>
        <v>Земельні питання</v>
      </c>
      <c r="F10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90" s="1" t="str">
        <f>"1"</f>
        <v>1</v>
      </c>
      <c r="H1090" s="1" t="str">
        <f>"Результат"</f>
        <v>Результат</v>
      </c>
      <c r="I1090" s="1" t="str">
        <f t="shared" si="194"/>
        <v>Позитивний</v>
      </c>
      <c r="J1090" s="1" t="str">
        <f>"Так"</f>
        <v>Так</v>
      </c>
    </row>
    <row r="1091" spans="1:10" ht="135" x14ac:dyDescent="0.25">
      <c r="A1091" s="1" t="str">
        <f>"1111-2020/27"</f>
        <v>1111-2020/27</v>
      </c>
      <c r="B1091" s="1" t="str">
        <f t="shared" si="187"/>
        <v>18.02.2020</v>
      </c>
      <c r="C1091" s="1" t="str">
        <f t="shared" si="188"/>
        <v>Закрито</v>
      </c>
      <c r="D109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091" s="1" t="str">
        <f>"Земельні питання"</f>
        <v>Земельні питання</v>
      </c>
      <c r="F10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91" s="1" t="str">
        <f>"14"</f>
        <v>14</v>
      </c>
      <c r="H1091" s="1" t="str">
        <f>"Результат"</f>
        <v>Результат</v>
      </c>
      <c r="I1091" s="1" t="str">
        <f t="shared" si="194"/>
        <v>Позитивний</v>
      </c>
      <c r="J1091" s="1" t="str">
        <f>"Ні"</f>
        <v>Ні</v>
      </c>
    </row>
    <row r="1092" spans="1:10" ht="90" x14ac:dyDescent="0.25">
      <c r="A1092" s="1" t="str">
        <f>"1118-2020/27"</f>
        <v>1118-2020/27</v>
      </c>
      <c r="B1092" s="1" t="str">
        <f t="shared" si="187"/>
        <v>18.02.2020</v>
      </c>
      <c r="C1092" s="1" t="str">
        <f t="shared" si="188"/>
        <v>Закрито</v>
      </c>
      <c r="D109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92" s="1" t="str">
        <f>"Інші послуги"</f>
        <v>Інші послуги</v>
      </c>
      <c r="F109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92" s="1" t="str">
        <f>"5"</f>
        <v>5</v>
      </c>
      <c r="H1092" s="1" t="str">
        <f>"Результат"</f>
        <v>Результат</v>
      </c>
      <c r="I1092" s="1" t="str">
        <f t="shared" si="194"/>
        <v>Позитивний</v>
      </c>
      <c r="J1092" s="1" t="str">
        <f>"Ні"</f>
        <v>Ні</v>
      </c>
    </row>
    <row r="1093" spans="1:10" ht="135" x14ac:dyDescent="0.25">
      <c r="A1093" s="1" t="str">
        <f>"1115-2020/27"</f>
        <v>1115-2020/27</v>
      </c>
      <c r="B1093" s="1" t="str">
        <f t="shared" si="187"/>
        <v>18.02.2020</v>
      </c>
      <c r="C1093" s="1" t="str">
        <f t="shared" si="188"/>
        <v>Закрито</v>
      </c>
      <c r="D10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93" s="1" t="str">
        <f>"Земельні питання"</f>
        <v>Земельні питання</v>
      </c>
      <c r="F10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93" s="1" t="str">
        <f>"3"</f>
        <v>3</v>
      </c>
      <c r="H1093" s="1" t="str">
        <f>"Результат"</f>
        <v>Результат</v>
      </c>
      <c r="I1093" s="1" t="str">
        <f t="shared" si="194"/>
        <v>Позитивний</v>
      </c>
      <c r="J1093" s="1" t="str">
        <f>"Ні"</f>
        <v>Ні</v>
      </c>
    </row>
    <row r="1094" spans="1:10" ht="90" x14ac:dyDescent="0.25">
      <c r="A1094" s="1" t="str">
        <f>"1098-2020/27"</f>
        <v>1098-2020/27</v>
      </c>
      <c r="B1094" s="1" t="str">
        <f t="shared" si="187"/>
        <v>18.02.2020</v>
      </c>
      <c r="C1094" s="1" t="str">
        <f t="shared" si="188"/>
        <v>Закрито</v>
      </c>
      <c r="D109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94" s="1" t="str">
        <f>"Інші послуги"</f>
        <v>Інші послуги</v>
      </c>
      <c r="F109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94" s="1" t="str">
        <f>"5"</f>
        <v>5</v>
      </c>
      <c r="H1094" s="1" t="str">
        <f>"Результат"</f>
        <v>Результат</v>
      </c>
      <c r="I1094" s="1" t="str">
        <f t="shared" si="194"/>
        <v>Позитивний</v>
      </c>
      <c r="J1094" s="1" t="str">
        <f>"Ні"</f>
        <v>Ні</v>
      </c>
    </row>
    <row r="1095" spans="1:10" ht="135" x14ac:dyDescent="0.25">
      <c r="A1095" s="1" t="str">
        <f>"1103-2020/27"</f>
        <v>1103-2020/27</v>
      </c>
      <c r="B1095" s="1" t="str">
        <f t="shared" si="187"/>
        <v>18.02.2020</v>
      </c>
      <c r="C1095" s="1" t="str">
        <f t="shared" si="188"/>
        <v>Закрито</v>
      </c>
      <c r="D109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095" s="1" t="str">
        <f>"Земельні питання"</f>
        <v>Земельні питання</v>
      </c>
      <c r="F10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95" s="1" t="str">
        <f>"1"</f>
        <v>1</v>
      </c>
      <c r="H1095" s="1" t="str">
        <f>"Результат"</f>
        <v>Результат</v>
      </c>
      <c r="I1095" s="1" t="str">
        <f t="shared" si="194"/>
        <v>Позитивний</v>
      </c>
      <c r="J1095" s="1" t="str">
        <f>"Так"</f>
        <v>Так</v>
      </c>
    </row>
    <row r="1096" spans="1:10" ht="195" x14ac:dyDescent="0.25">
      <c r="A1096" s="1" t="str">
        <f>"1107-2020/27"</f>
        <v>1107-2020/27</v>
      </c>
      <c r="B1096" s="1" t="str">
        <f t="shared" si="187"/>
        <v>18.02.2020</v>
      </c>
      <c r="C1096" s="1" t="str">
        <f>"На обробці в адмін. органі"</f>
        <v>На обробці в адмін. органі</v>
      </c>
      <c r="D1096" s="1" t="s">
        <v>13</v>
      </c>
      <c r="E1096" s="1" t="str">
        <f>"Державна реєстрація громадських об’єднань"</f>
        <v>Державна реєстрація громадських об’єднань</v>
      </c>
      <c r="F1096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096" s="1" t="str">
        <f>"15"</f>
        <v>15</v>
      </c>
      <c r="H1096" s="1" t="str">
        <f>"Пром. відповідь"</f>
        <v>Пром. відповідь</v>
      </c>
      <c r="I1096" s="1" t="str">
        <f t="shared" si="194"/>
        <v>Позитивний</v>
      </c>
      <c r="J1096" s="1" t="str">
        <f>"Ні"</f>
        <v>Ні</v>
      </c>
    </row>
    <row r="1097" spans="1:10" ht="90" x14ac:dyDescent="0.25">
      <c r="A1097" s="1" t="str">
        <f>"1084-2020/27"</f>
        <v>1084-2020/27</v>
      </c>
      <c r="B1097" s="1" t="str">
        <f t="shared" si="187"/>
        <v>18.02.2020</v>
      </c>
      <c r="C1097" s="1" t="str">
        <f t="shared" ref="C1097:C1136" si="195">"Закрито"</f>
        <v>Закрито</v>
      </c>
      <c r="D109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97" s="1" t="str">
        <f>"Інші послуги"</f>
        <v>Інші послуги</v>
      </c>
      <c r="F109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97" s="1" t="str">
        <f>"5"</f>
        <v>5</v>
      </c>
      <c r="H1097" s="1" t="str">
        <f>"Результат"</f>
        <v>Результат</v>
      </c>
      <c r="I1097" s="1" t="str">
        <f t="shared" si="194"/>
        <v>Позитивний</v>
      </c>
      <c r="J1097" s="1" t="str">
        <f>"Ні"</f>
        <v>Ні</v>
      </c>
    </row>
    <row r="1098" spans="1:10" ht="135" x14ac:dyDescent="0.25">
      <c r="A1098" s="1" t="str">
        <f>"1117-2020/27"</f>
        <v>1117-2020/27</v>
      </c>
      <c r="B1098" s="1" t="str">
        <f t="shared" si="187"/>
        <v>18.02.2020</v>
      </c>
      <c r="C1098" s="1" t="str">
        <f t="shared" si="195"/>
        <v>Закрито</v>
      </c>
      <c r="D10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098" s="1" t="str">
        <f>"Земельні питання"</f>
        <v>Земельні питання</v>
      </c>
      <c r="F10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098" s="1" t="str">
        <f>"3"</f>
        <v>3</v>
      </c>
      <c r="H1098" s="1" t="str">
        <f>"Результат"</f>
        <v>Результат</v>
      </c>
      <c r="I1098" s="1" t="str">
        <f t="shared" si="194"/>
        <v>Позитивний</v>
      </c>
      <c r="J1098" s="1" t="str">
        <f>"Ні"</f>
        <v>Ні</v>
      </c>
    </row>
    <row r="1099" spans="1:10" ht="90" x14ac:dyDescent="0.25">
      <c r="A1099" s="1" t="str">
        <f>"1147-2020/27"</f>
        <v>1147-2020/27</v>
      </c>
      <c r="B1099" s="1" t="str">
        <f t="shared" ref="B1099:B1134" si="196">"19.02.2020"</f>
        <v>19.02.2020</v>
      </c>
      <c r="C1099" s="1" t="str">
        <f t="shared" si="195"/>
        <v>Закрито</v>
      </c>
      <c r="D109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099" s="1" t="str">
        <f>"Інші послуги"</f>
        <v>Інші послуги</v>
      </c>
      <c r="F109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099" s="1" t="str">
        <f>"5"</f>
        <v>5</v>
      </c>
      <c r="H1099" s="1" t="str">
        <f>"Результат"</f>
        <v>Результат</v>
      </c>
      <c r="I1099" s="1" t="str">
        <f t="shared" si="194"/>
        <v>Позитивний</v>
      </c>
      <c r="J1099" s="1" t="str">
        <f>"Ні"</f>
        <v>Ні</v>
      </c>
    </row>
    <row r="1100" spans="1:10" ht="105" x14ac:dyDescent="0.25">
      <c r="A1100" s="1" t="str">
        <f>"1151-2020/27"</f>
        <v>1151-2020/27</v>
      </c>
      <c r="B1100" s="1" t="str">
        <f t="shared" si="196"/>
        <v>19.02.2020</v>
      </c>
      <c r="C1100" s="1" t="str">
        <f t="shared" si="195"/>
        <v>Закрито</v>
      </c>
      <c r="D110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00" s="1" t="str">
        <f>"Земельні питання"</f>
        <v>Земельні питання</v>
      </c>
      <c r="F110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00" s="1" t="str">
        <f>"1"</f>
        <v>1</v>
      </c>
      <c r="H1100" s="1" t="str">
        <f>"Результат"</f>
        <v>Результат</v>
      </c>
      <c r="I1100" s="1" t="str">
        <f t="shared" si="194"/>
        <v>Позитивний</v>
      </c>
      <c r="J1100" s="1" t="str">
        <f>"Так"</f>
        <v>Так</v>
      </c>
    </row>
    <row r="1101" spans="1:10" ht="135" x14ac:dyDescent="0.25">
      <c r="A1101" s="1" t="str">
        <f>"1157-2020/27"</f>
        <v>1157-2020/27</v>
      </c>
      <c r="B1101" s="1" t="str">
        <f t="shared" si="196"/>
        <v>19.02.2020</v>
      </c>
      <c r="C1101" s="1" t="str">
        <f t="shared" si="195"/>
        <v>Закрито</v>
      </c>
      <c r="D110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01" s="1" t="str">
        <f>"Земельні питання"</f>
        <v>Земельні питання</v>
      </c>
      <c r="F11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01" s="1" t="str">
        <f>"14"</f>
        <v>14</v>
      </c>
      <c r="H1101" s="1" t="str">
        <f>"Результат"</f>
        <v>Результат</v>
      </c>
      <c r="I1101" s="1" t="str">
        <f t="shared" si="194"/>
        <v>Позитивний</v>
      </c>
      <c r="J1101" s="1" t="str">
        <f>"Ні"</f>
        <v>Ні</v>
      </c>
    </row>
    <row r="1102" spans="1:10" ht="90" x14ac:dyDescent="0.25">
      <c r="A1102" s="1" t="str">
        <f>"1136-2020/27"</f>
        <v>1136-2020/27</v>
      </c>
      <c r="B1102" s="1" t="str">
        <f t="shared" si="196"/>
        <v>19.02.2020</v>
      </c>
      <c r="C1102" s="1" t="str">
        <f t="shared" si="195"/>
        <v>Закрито</v>
      </c>
      <c r="D110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102" s="1" t="str">
        <f>"Інші послуги"</f>
        <v>Інші послуги</v>
      </c>
      <c r="F110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102" s="1" t="str">
        <f>"5"</f>
        <v>5</v>
      </c>
      <c r="H1102" s="1" t="str">
        <f>"Результат"</f>
        <v>Результат</v>
      </c>
      <c r="I1102" s="1" t="str">
        <f t="shared" si="194"/>
        <v>Позитивний</v>
      </c>
      <c r="J1102" s="1" t="str">
        <f>"Ні"</f>
        <v>Ні</v>
      </c>
    </row>
    <row r="1103" spans="1:10" ht="45" x14ac:dyDescent="0.25">
      <c r="A1103" s="1" t="str">
        <f>"1131-2020/27"</f>
        <v>1131-2020/27</v>
      </c>
      <c r="B1103" s="1" t="str">
        <f t="shared" si="196"/>
        <v>19.02.2020</v>
      </c>
      <c r="C1103" s="1" t="str">
        <f t="shared" si="195"/>
        <v>Закрито</v>
      </c>
      <c r="D1103" s="1" t="str">
        <f>"Реєстрація місця проживання особи"</f>
        <v>Реєстрація місця проживання особи</v>
      </c>
      <c r="E1103" s="1" t="str">
        <f>"Реєстрація місця проживання"</f>
        <v>Реєстрація місця проживання</v>
      </c>
      <c r="F1103" s="1" t="str">
        <f>"Відділ реєстрації Новокаховської міської ради"</f>
        <v>Відділ реєстрації Новокаховської міської ради</v>
      </c>
      <c r="G1103" s="1" t="str">
        <f>"1"</f>
        <v>1</v>
      </c>
      <c r="H1103" s="1" t="str">
        <f>"Результат"</f>
        <v>Результат</v>
      </c>
      <c r="I1103" s="1" t="str">
        <f t="shared" si="194"/>
        <v>Позитивний</v>
      </c>
      <c r="J1103" s="1" t="str">
        <f>"Так"</f>
        <v>Так</v>
      </c>
    </row>
    <row r="1104" spans="1:10" ht="225" x14ac:dyDescent="0.25">
      <c r="A1104" s="1" t="str">
        <f>"1156-2020/27"</f>
        <v>1156-2020/27</v>
      </c>
      <c r="B1104" s="1" t="str">
        <f t="shared" si="196"/>
        <v>19.02.2020</v>
      </c>
      <c r="C1104" s="1" t="str">
        <f t="shared" si="195"/>
        <v>Закрито</v>
      </c>
      <c r="D1104" s="1" t="s">
        <v>0</v>
      </c>
      <c r="E1104" s="1" t="str">
        <f>"Будівництво"</f>
        <v>Будівництво</v>
      </c>
      <c r="F110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104" s="1" t="str">
        <f>"10"</f>
        <v>10</v>
      </c>
      <c r="H1104" s="1" t="str">
        <f>"Результат"</f>
        <v>Результат</v>
      </c>
      <c r="I1104" s="1" t="str">
        <f t="shared" si="194"/>
        <v>Позитивний</v>
      </c>
      <c r="J1104" s="1" t="str">
        <f>"Ні"</f>
        <v>Ні</v>
      </c>
    </row>
    <row r="1105" spans="1:10" ht="135" x14ac:dyDescent="0.25">
      <c r="A1105" s="1" t="str">
        <f>"1124-2020/27"</f>
        <v>1124-2020/27</v>
      </c>
      <c r="B1105" s="1" t="str">
        <f t="shared" si="196"/>
        <v>19.02.2020</v>
      </c>
      <c r="C1105" s="1" t="str">
        <f t="shared" si="195"/>
        <v>Закрито</v>
      </c>
      <c r="D110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05" s="1" t="str">
        <f>"Земельні питання"</f>
        <v>Земельні питання</v>
      </c>
      <c r="F11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05" s="1" t="str">
        <f>"3"</f>
        <v>3</v>
      </c>
      <c r="H1105" s="1" t="str">
        <f>"Результат"</f>
        <v>Результат</v>
      </c>
      <c r="I1105" s="1" t="str">
        <f t="shared" si="194"/>
        <v>Позитивний</v>
      </c>
      <c r="J1105" s="1" t="str">
        <f>"Ні"</f>
        <v>Ні</v>
      </c>
    </row>
    <row r="1106" spans="1:10" ht="45" x14ac:dyDescent="0.25">
      <c r="A1106" s="1" t="str">
        <f>"1155-2020/27"</f>
        <v>1155-2020/27</v>
      </c>
      <c r="B1106" s="1" t="str">
        <f t="shared" si="196"/>
        <v>19.02.2020</v>
      </c>
      <c r="C1106" s="1" t="str">
        <f t="shared" si="195"/>
        <v>Закрито</v>
      </c>
      <c r="D1106" s="1" t="str">
        <f>"Реєстрація місця проживання особи"</f>
        <v>Реєстрація місця проживання особи</v>
      </c>
      <c r="E1106" s="1" t="str">
        <f>"Реєстрація місця проживання"</f>
        <v>Реєстрація місця проживання</v>
      </c>
      <c r="F1106" s="1" t="str">
        <f>"Відділ реєстрації Новокаховської міської ради"</f>
        <v>Відділ реєстрації Новокаховської міської ради</v>
      </c>
      <c r="G1106" s="1" t="str">
        <f>"1"</f>
        <v>1</v>
      </c>
      <c r="H1106" s="1" t="str">
        <f>"Результат"</f>
        <v>Результат</v>
      </c>
      <c r="I1106" s="1" t="str">
        <f t="shared" si="194"/>
        <v>Позитивний</v>
      </c>
      <c r="J1106" s="1" t="str">
        <f>"Так"</f>
        <v>Так</v>
      </c>
    </row>
    <row r="1107" spans="1:10" ht="135" x14ac:dyDescent="0.25">
      <c r="A1107" s="1" t="str">
        <f>"1159-2020/27"</f>
        <v>1159-2020/27</v>
      </c>
      <c r="B1107" s="1" t="str">
        <f t="shared" si="196"/>
        <v>19.02.2020</v>
      </c>
      <c r="C1107" s="1" t="str">
        <f t="shared" si="195"/>
        <v>Закрито</v>
      </c>
      <c r="D110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07" s="1" t="str">
        <f>"Земельні питання"</f>
        <v>Земельні питання</v>
      </c>
      <c r="F11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07" s="1" t="str">
        <f>"14"</f>
        <v>14</v>
      </c>
      <c r="H1107" s="1" t="str">
        <f>"Результат"</f>
        <v>Результат</v>
      </c>
      <c r="I1107" s="1" t="str">
        <f t="shared" si="194"/>
        <v>Позитивний</v>
      </c>
      <c r="J1107" s="1" t="str">
        <f>"Ні"</f>
        <v>Ні</v>
      </c>
    </row>
    <row r="1108" spans="1:10" ht="45" x14ac:dyDescent="0.25">
      <c r="A1108" s="1" t="str">
        <f>"1125-2020/27"</f>
        <v>1125-2020/27</v>
      </c>
      <c r="B1108" s="1" t="str">
        <f t="shared" si="196"/>
        <v>19.02.2020</v>
      </c>
      <c r="C1108" s="1" t="str">
        <f t="shared" si="195"/>
        <v>Закрито</v>
      </c>
      <c r="D1108" s="1" t="str">
        <f>"Реєстрація місця проживання особи"</f>
        <v>Реєстрація місця проживання особи</v>
      </c>
      <c r="E1108" s="1" t="str">
        <f>"Реєстрація місця проживання"</f>
        <v>Реєстрація місця проживання</v>
      </c>
      <c r="F1108" s="1" t="str">
        <f>"Відділ реєстрації Новокаховської міської ради"</f>
        <v>Відділ реєстрації Новокаховської міської ради</v>
      </c>
      <c r="G1108" s="1" t="str">
        <f>"1"</f>
        <v>1</v>
      </c>
      <c r="H1108" s="1" t="str">
        <f>"Результат"</f>
        <v>Результат</v>
      </c>
      <c r="I1108" s="1" t="str">
        <f t="shared" si="194"/>
        <v>Позитивний</v>
      </c>
      <c r="J1108" s="1" t="str">
        <f>"Так"</f>
        <v>Так</v>
      </c>
    </row>
    <row r="1109" spans="1:10" ht="105" x14ac:dyDescent="0.25">
      <c r="A1109" s="1" t="str">
        <f>"1144-2020/27"</f>
        <v>1144-2020/27</v>
      </c>
      <c r="B1109" s="1" t="str">
        <f t="shared" si="196"/>
        <v>19.02.2020</v>
      </c>
      <c r="C1109" s="1" t="str">
        <f t="shared" si="195"/>
        <v>Закрито</v>
      </c>
      <c r="D110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09" s="1" t="str">
        <f>"Земельні питання"</f>
        <v>Земельні питання</v>
      </c>
      <c r="F110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09" s="1" t="str">
        <f>"1"</f>
        <v>1</v>
      </c>
      <c r="H1109" s="1" t="str">
        <f>"Результат"</f>
        <v>Результат</v>
      </c>
      <c r="I1109" s="1" t="str">
        <f t="shared" si="194"/>
        <v>Позитивний</v>
      </c>
      <c r="J1109" s="1" t="str">
        <f>"Так"</f>
        <v>Так</v>
      </c>
    </row>
    <row r="1110" spans="1:10" ht="135" x14ac:dyDescent="0.25">
      <c r="A1110" s="1" t="str">
        <f>"1148-2020/27"</f>
        <v>1148-2020/27</v>
      </c>
      <c r="B1110" s="1" t="str">
        <f t="shared" si="196"/>
        <v>19.02.2020</v>
      </c>
      <c r="C1110" s="1" t="str">
        <f t="shared" si="195"/>
        <v>Закрито</v>
      </c>
      <c r="D111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10" s="1" t="str">
        <f>"Земельні питання"</f>
        <v>Земельні питання</v>
      </c>
      <c r="F11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10" s="1" t="str">
        <f>"14"</f>
        <v>14</v>
      </c>
      <c r="H1110" s="1" t="str">
        <f>"Результат"</f>
        <v>Результат</v>
      </c>
      <c r="I1110" s="1" t="str">
        <f t="shared" si="194"/>
        <v>Позитивний</v>
      </c>
      <c r="J1110" s="1" t="str">
        <f>"Ні"</f>
        <v>Ні</v>
      </c>
    </row>
    <row r="1111" spans="1:10" ht="45" x14ac:dyDescent="0.25">
      <c r="A1111" s="1" t="str">
        <f>"1152-2020/27"</f>
        <v>1152-2020/27</v>
      </c>
      <c r="B1111" s="1" t="str">
        <f t="shared" si="196"/>
        <v>19.02.2020</v>
      </c>
      <c r="C1111" s="1" t="str">
        <f t="shared" si="195"/>
        <v>Закрито</v>
      </c>
      <c r="D1111" s="1" t="str">
        <f>"Реєстрація місця проживання особи"</f>
        <v>Реєстрація місця проживання особи</v>
      </c>
      <c r="E1111" s="1" t="str">
        <f>"Реєстрація місця проживання"</f>
        <v>Реєстрація місця проживання</v>
      </c>
      <c r="F1111" s="1" t="str">
        <f>"Відділ реєстрації Новокаховської міської ради"</f>
        <v>Відділ реєстрації Новокаховської міської ради</v>
      </c>
      <c r="G1111" s="1" t="str">
        <f>"1"</f>
        <v>1</v>
      </c>
      <c r="H1111" s="1" t="str">
        <f>"Результат"</f>
        <v>Результат</v>
      </c>
      <c r="I1111" s="1" t="str">
        <f t="shared" si="194"/>
        <v>Позитивний</v>
      </c>
      <c r="J1111" s="1" t="str">
        <f>"Так"</f>
        <v>Так</v>
      </c>
    </row>
    <row r="1112" spans="1:10" ht="45" x14ac:dyDescent="0.25">
      <c r="A1112" s="1" t="str">
        <f>"1130-2020/27"</f>
        <v>1130-2020/27</v>
      </c>
      <c r="B1112" s="1" t="str">
        <f t="shared" si="196"/>
        <v>19.02.2020</v>
      </c>
      <c r="C1112" s="1" t="str">
        <f t="shared" si="195"/>
        <v>Закрито</v>
      </c>
      <c r="D1112" s="1" t="str">
        <f>"Реєстрація місця проживання особи"</f>
        <v>Реєстрація місця проживання особи</v>
      </c>
      <c r="E1112" s="1" t="str">
        <f>"Реєстрація місця проживання"</f>
        <v>Реєстрація місця проживання</v>
      </c>
      <c r="F1112" s="1" t="str">
        <f>"Відділ реєстрації Новокаховської міської ради"</f>
        <v>Відділ реєстрації Новокаховської міської ради</v>
      </c>
      <c r="G1112" s="1" t="str">
        <f>"1"</f>
        <v>1</v>
      </c>
      <c r="H1112" s="1" t="str">
        <f>"Результат"</f>
        <v>Результат</v>
      </c>
      <c r="I1112" s="1" t="str">
        <f t="shared" si="194"/>
        <v>Позитивний</v>
      </c>
      <c r="J1112" s="1" t="str">
        <f>"Так"</f>
        <v>Так</v>
      </c>
    </row>
    <row r="1113" spans="1:10" ht="135" x14ac:dyDescent="0.25">
      <c r="A1113" s="1" t="str">
        <f>"1126-2020/27"</f>
        <v>1126-2020/27</v>
      </c>
      <c r="B1113" s="1" t="str">
        <f t="shared" si="196"/>
        <v>19.02.2020</v>
      </c>
      <c r="C1113" s="1" t="str">
        <f t="shared" si="195"/>
        <v>Закрито</v>
      </c>
      <c r="D111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13" s="1" t="str">
        <f>"Земельні питання"</f>
        <v>Земельні питання</v>
      </c>
      <c r="F11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13" s="1" t="str">
        <f>"14"</f>
        <v>14</v>
      </c>
      <c r="H1113" s="1" t="str">
        <f>"Результат"</f>
        <v>Результат</v>
      </c>
      <c r="I1113" s="1" t="str">
        <f t="shared" si="194"/>
        <v>Позитивний</v>
      </c>
      <c r="J1113" s="1" t="str">
        <f>"Ні"</f>
        <v>Ні</v>
      </c>
    </row>
    <row r="1114" spans="1:10" ht="45" x14ac:dyDescent="0.25">
      <c r="A1114" s="1" t="str">
        <f>"1140-2020/27"</f>
        <v>1140-2020/27</v>
      </c>
      <c r="B1114" s="1" t="str">
        <f t="shared" si="196"/>
        <v>19.02.2020</v>
      </c>
      <c r="C1114" s="1" t="str">
        <f t="shared" si="195"/>
        <v>Закрито</v>
      </c>
      <c r="D1114" s="1" t="str">
        <f>"Зняття з реєстрації місця проживання"</f>
        <v>Зняття з реєстрації місця проживання</v>
      </c>
      <c r="E1114" s="1" t="str">
        <f>"Реєстрація місця проживання"</f>
        <v>Реєстрація місця проживання</v>
      </c>
      <c r="F1114" s="1" t="str">
        <f>"Відділ реєстрації Новокаховської міської ради"</f>
        <v>Відділ реєстрації Новокаховської міської ради</v>
      </c>
      <c r="G1114" s="1" t="str">
        <f>"1"</f>
        <v>1</v>
      </c>
      <c r="H1114" s="1" t="str">
        <f>"Результат"</f>
        <v>Результат</v>
      </c>
      <c r="I1114" s="1" t="str">
        <f t="shared" si="194"/>
        <v>Позитивний</v>
      </c>
      <c r="J1114" s="1" t="str">
        <f>"Так"</f>
        <v>Так</v>
      </c>
    </row>
    <row r="1115" spans="1:10" ht="105" x14ac:dyDescent="0.25">
      <c r="A1115" s="1" t="str">
        <f>"1150-2020/27"</f>
        <v>1150-2020/27</v>
      </c>
      <c r="B1115" s="1" t="str">
        <f t="shared" si="196"/>
        <v>19.02.2020</v>
      </c>
      <c r="C1115" s="1" t="str">
        <f t="shared" si="195"/>
        <v>Закрито</v>
      </c>
      <c r="D11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15" s="1" t="str">
        <f>"Земельні питання"</f>
        <v>Земельні питання</v>
      </c>
      <c r="F111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15" s="1" t="str">
        <f>"1"</f>
        <v>1</v>
      </c>
      <c r="H1115" s="1" t="str">
        <f>"Результат"</f>
        <v>Результат</v>
      </c>
      <c r="I1115" s="1" t="str">
        <f t="shared" si="194"/>
        <v>Позитивний</v>
      </c>
      <c r="J1115" s="1" t="str">
        <f>"Так"</f>
        <v>Так</v>
      </c>
    </row>
    <row r="1116" spans="1:10" ht="45" x14ac:dyDescent="0.25">
      <c r="A1116" s="1" t="str">
        <f>"1139-2020/27"</f>
        <v>1139-2020/27</v>
      </c>
      <c r="B1116" s="1" t="str">
        <f t="shared" si="196"/>
        <v>19.02.2020</v>
      </c>
      <c r="C1116" s="1" t="str">
        <f t="shared" si="195"/>
        <v>Закрито</v>
      </c>
      <c r="D1116" s="1" t="str">
        <f>"Зняття з реєстрації місця проживання"</f>
        <v>Зняття з реєстрації місця проживання</v>
      </c>
      <c r="E1116" s="1" t="str">
        <f>"Реєстрація місця проживання"</f>
        <v>Реєстрація місця проживання</v>
      </c>
      <c r="F1116" s="1" t="str">
        <f>"Відділ реєстрації Новокаховської міської ради"</f>
        <v>Відділ реєстрації Новокаховської міської ради</v>
      </c>
      <c r="G1116" s="1" t="str">
        <f>"1"</f>
        <v>1</v>
      </c>
      <c r="H1116" s="1" t="str">
        <f>"Результат"</f>
        <v>Результат</v>
      </c>
      <c r="I1116" s="1" t="str">
        <f t="shared" si="194"/>
        <v>Позитивний</v>
      </c>
      <c r="J1116" s="1" t="str">
        <f>"Так"</f>
        <v>Так</v>
      </c>
    </row>
    <row r="1117" spans="1:10" ht="135" x14ac:dyDescent="0.25">
      <c r="A1117" s="1" t="str">
        <f>"1133-2020/27"</f>
        <v>1133-2020/27</v>
      </c>
      <c r="B1117" s="1" t="str">
        <f t="shared" si="196"/>
        <v>19.02.2020</v>
      </c>
      <c r="C1117" s="1" t="str">
        <f t="shared" si="195"/>
        <v>Закрито</v>
      </c>
      <c r="D111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17" s="1" t="str">
        <f>"Земельні питання"</f>
        <v>Земельні питання</v>
      </c>
      <c r="F11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17" s="1" t="str">
        <f>"1"</f>
        <v>1</v>
      </c>
      <c r="H1117" s="1" t="str">
        <f>"Результат"</f>
        <v>Результат</v>
      </c>
      <c r="I1117" s="1" t="str">
        <f t="shared" si="194"/>
        <v>Позитивний</v>
      </c>
      <c r="J1117" s="1" t="str">
        <f>"Так"</f>
        <v>Так</v>
      </c>
    </row>
    <row r="1118" spans="1:10" ht="90" x14ac:dyDescent="0.25">
      <c r="A1118" s="1" t="str">
        <f>"1138-2020/27"</f>
        <v>1138-2020/27</v>
      </c>
      <c r="B1118" s="1" t="str">
        <f t="shared" si="196"/>
        <v>19.02.2020</v>
      </c>
      <c r="C1118" s="1" t="str">
        <f t="shared" si="195"/>
        <v>Закрито</v>
      </c>
      <c r="D111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118" s="1" t="str">
        <f>"Інші послуги"</f>
        <v>Інші послуги</v>
      </c>
      <c r="F111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118" s="1" t="str">
        <f>"5"</f>
        <v>5</v>
      </c>
      <c r="H1118" s="1" t="str">
        <f>"Результат"</f>
        <v>Результат</v>
      </c>
      <c r="I1118" s="1" t="str">
        <f t="shared" si="194"/>
        <v>Позитивний</v>
      </c>
      <c r="J1118" s="1" t="str">
        <f>"Ні"</f>
        <v>Ні</v>
      </c>
    </row>
    <row r="1119" spans="1:10" ht="45" x14ac:dyDescent="0.25">
      <c r="A1119" s="1" t="str">
        <f>"1132-2020/27"</f>
        <v>1132-2020/27</v>
      </c>
      <c r="B1119" s="1" t="str">
        <f t="shared" si="196"/>
        <v>19.02.2020</v>
      </c>
      <c r="C1119" s="1" t="str">
        <f t="shared" si="195"/>
        <v>Закрито</v>
      </c>
      <c r="D1119" s="1" t="str">
        <f>"Реєстрація місця проживання особи"</f>
        <v>Реєстрація місця проживання особи</v>
      </c>
      <c r="E1119" s="1" t="str">
        <f>"Реєстрація місця проживання"</f>
        <v>Реєстрація місця проживання</v>
      </c>
      <c r="F1119" s="1" t="str">
        <f>"Відділ реєстрації Новокаховської міської ради"</f>
        <v>Відділ реєстрації Новокаховської міської ради</v>
      </c>
      <c r="G1119" s="1" t="str">
        <f>"1"</f>
        <v>1</v>
      </c>
      <c r="H1119" s="1" t="str">
        <f>"Результат"</f>
        <v>Результат</v>
      </c>
      <c r="I1119" s="1" t="str">
        <f t="shared" si="194"/>
        <v>Позитивний</v>
      </c>
      <c r="J1119" s="1" t="str">
        <f>"Так"</f>
        <v>Так</v>
      </c>
    </row>
    <row r="1120" spans="1:10" ht="45" x14ac:dyDescent="0.25">
      <c r="A1120" s="1" t="str">
        <f>"1137-2020/27"</f>
        <v>1137-2020/27</v>
      </c>
      <c r="B1120" s="1" t="str">
        <f t="shared" si="196"/>
        <v>19.02.2020</v>
      </c>
      <c r="C1120" s="1" t="str">
        <f t="shared" si="195"/>
        <v>Закрито</v>
      </c>
      <c r="D1120" s="1" t="str">
        <f>"Реєстрація місця проживання особи"</f>
        <v>Реєстрація місця проживання особи</v>
      </c>
      <c r="E1120" s="1" t="str">
        <f>"Реєстрація місця проживання"</f>
        <v>Реєстрація місця проживання</v>
      </c>
      <c r="F1120" s="1" t="str">
        <f>"Відділ реєстрації Новокаховської міської ради"</f>
        <v>Відділ реєстрації Новокаховської міської ради</v>
      </c>
      <c r="G1120" s="1" t="str">
        <f>"1"</f>
        <v>1</v>
      </c>
      <c r="H1120" s="1" t="str">
        <f>"Результат"</f>
        <v>Результат</v>
      </c>
      <c r="I1120" s="1" t="str">
        <f t="shared" ref="I1120:I1136" si="197">"Позитивний"</f>
        <v>Позитивний</v>
      </c>
      <c r="J1120" s="1" t="str">
        <f>"Так"</f>
        <v>Так</v>
      </c>
    </row>
    <row r="1121" spans="1:10" ht="45" x14ac:dyDescent="0.25">
      <c r="A1121" s="1" t="str">
        <f>"1153-2020/27"</f>
        <v>1153-2020/27</v>
      </c>
      <c r="B1121" s="1" t="str">
        <f t="shared" si="196"/>
        <v>19.02.2020</v>
      </c>
      <c r="C1121" s="1" t="str">
        <f t="shared" si="195"/>
        <v>Закрито</v>
      </c>
      <c r="D1121" s="1" t="str">
        <f>"Реєстрація місця проживання особи"</f>
        <v>Реєстрація місця проживання особи</v>
      </c>
      <c r="E1121" s="1" t="str">
        <f>"Реєстрація місця проживання"</f>
        <v>Реєстрація місця проживання</v>
      </c>
      <c r="F1121" s="1" t="str">
        <f>"Відділ реєстрації Новокаховської міської ради"</f>
        <v>Відділ реєстрації Новокаховської міської ради</v>
      </c>
      <c r="G1121" s="1" t="str">
        <f>"1"</f>
        <v>1</v>
      </c>
      <c r="H1121" s="1" t="str">
        <f>"Результат"</f>
        <v>Результат</v>
      </c>
      <c r="I1121" s="1" t="str">
        <f t="shared" si="197"/>
        <v>Позитивний</v>
      </c>
      <c r="J1121" s="1" t="str">
        <f>"Так"</f>
        <v>Так</v>
      </c>
    </row>
    <row r="1122" spans="1:10" ht="45" x14ac:dyDescent="0.25">
      <c r="A1122" s="1" t="str">
        <f>"1146-2020/27"</f>
        <v>1146-2020/27</v>
      </c>
      <c r="B1122" s="1" t="str">
        <f t="shared" si="196"/>
        <v>19.02.2020</v>
      </c>
      <c r="C1122" s="1" t="str">
        <f t="shared" si="195"/>
        <v>Закрито</v>
      </c>
      <c r="D1122" s="1" t="str">
        <f>"Зняття з реєстрації місця проживання"</f>
        <v>Зняття з реєстрації місця проживання</v>
      </c>
      <c r="E1122" s="1" t="str">
        <f>"Реєстрація місця проживання"</f>
        <v>Реєстрація місця проживання</v>
      </c>
      <c r="F1122" s="1" t="str">
        <f>"Відділ реєстрації Новокаховської міської ради"</f>
        <v>Відділ реєстрації Новокаховської міської ради</v>
      </c>
      <c r="G1122" s="1" t="str">
        <f>"1"</f>
        <v>1</v>
      </c>
      <c r="H1122" s="1" t="str">
        <f>"Результат"</f>
        <v>Результат</v>
      </c>
      <c r="I1122" s="1" t="str">
        <f t="shared" si="197"/>
        <v>Позитивний</v>
      </c>
      <c r="J1122" s="1" t="str">
        <f>"Так"</f>
        <v>Так</v>
      </c>
    </row>
    <row r="1123" spans="1:10" ht="45" x14ac:dyDescent="0.25">
      <c r="A1123" s="1" t="str">
        <f>"1142-2020/27"</f>
        <v>1142-2020/27</v>
      </c>
      <c r="B1123" s="1" t="str">
        <f t="shared" si="196"/>
        <v>19.02.2020</v>
      </c>
      <c r="C1123" s="1" t="str">
        <f t="shared" si="195"/>
        <v>Закрито</v>
      </c>
      <c r="D1123" s="1" t="str">
        <f>"Реєстрація місця проживання особи"</f>
        <v>Реєстрація місця проживання особи</v>
      </c>
      <c r="E1123" s="1" t="str">
        <f>"Реєстрація місця проживання"</f>
        <v>Реєстрація місця проживання</v>
      </c>
      <c r="F1123" s="1" t="str">
        <f>"Відділ реєстрації Новокаховської міської ради"</f>
        <v>Відділ реєстрації Новокаховської міської ради</v>
      </c>
      <c r="G1123" s="1" t="str">
        <f>"1"</f>
        <v>1</v>
      </c>
      <c r="H1123" s="1" t="str">
        <f>"Результат"</f>
        <v>Результат</v>
      </c>
      <c r="I1123" s="1" t="str">
        <f t="shared" si="197"/>
        <v>Позитивний</v>
      </c>
      <c r="J1123" s="1" t="str">
        <f>"Так"</f>
        <v>Так</v>
      </c>
    </row>
    <row r="1124" spans="1:10" ht="90" x14ac:dyDescent="0.25">
      <c r="A1124" s="1" t="str">
        <f>"1141-2020/27"</f>
        <v>1141-2020/27</v>
      </c>
      <c r="B1124" s="1" t="str">
        <f t="shared" si="196"/>
        <v>19.02.2020</v>
      </c>
      <c r="C1124" s="1" t="str">
        <f t="shared" si="195"/>
        <v>Закрито</v>
      </c>
      <c r="D112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124" s="1" t="str">
        <f>"Інші послуги"</f>
        <v>Інші послуги</v>
      </c>
      <c r="F112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124" s="1" t="str">
        <f>"5"</f>
        <v>5</v>
      </c>
      <c r="H1124" s="1" t="str">
        <f>"Результат"</f>
        <v>Результат</v>
      </c>
      <c r="I1124" s="1" t="str">
        <f t="shared" si="197"/>
        <v>Позитивний</v>
      </c>
      <c r="J1124" s="1" t="str">
        <f>"Ні"</f>
        <v>Ні</v>
      </c>
    </row>
    <row r="1125" spans="1:10" ht="45" x14ac:dyDescent="0.25">
      <c r="A1125" s="1" t="str">
        <f>"1127-2020/27"</f>
        <v>1127-2020/27</v>
      </c>
      <c r="B1125" s="1" t="str">
        <f t="shared" si="196"/>
        <v>19.02.2020</v>
      </c>
      <c r="C1125" s="1" t="str">
        <f t="shared" si="195"/>
        <v>Закрито</v>
      </c>
      <c r="D1125" s="1" t="str">
        <f>"Реєстрація місця проживання особи"</f>
        <v>Реєстрація місця проживання особи</v>
      </c>
      <c r="E1125" s="1" t="str">
        <f>"Реєстрація місця проживання"</f>
        <v>Реєстрація місця проживання</v>
      </c>
      <c r="F1125" s="1" t="str">
        <f>"Відділ реєстрації Новокаховської міської ради"</f>
        <v>Відділ реєстрації Новокаховської міської ради</v>
      </c>
      <c r="G1125" s="1" t="str">
        <f>"1"</f>
        <v>1</v>
      </c>
      <c r="H1125" s="1" t="str">
        <f>"Результат"</f>
        <v>Результат</v>
      </c>
      <c r="I1125" s="1" t="str">
        <f t="shared" si="197"/>
        <v>Позитивний</v>
      </c>
      <c r="J1125" s="1" t="str">
        <f>"Так"</f>
        <v>Так</v>
      </c>
    </row>
    <row r="1126" spans="1:10" ht="135" x14ac:dyDescent="0.25">
      <c r="A1126" s="1" t="str">
        <f>"1135-2020/27"</f>
        <v>1135-2020/27</v>
      </c>
      <c r="B1126" s="1" t="str">
        <f t="shared" si="196"/>
        <v>19.02.2020</v>
      </c>
      <c r="C1126" s="1" t="str">
        <f t="shared" si="195"/>
        <v>Закрито</v>
      </c>
      <c r="D11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26" s="1" t="str">
        <f t="shared" ref="E1126:E1131" si="198">"Земельні питання"</f>
        <v>Земельні питання</v>
      </c>
      <c r="F11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26" s="1" t="str">
        <f>"1"</f>
        <v>1</v>
      </c>
      <c r="H1126" s="1" t="str">
        <f>"Результат"</f>
        <v>Результат</v>
      </c>
      <c r="I1126" s="1" t="str">
        <f t="shared" si="197"/>
        <v>Позитивний</v>
      </c>
      <c r="J1126" s="1" t="str">
        <f>"Так"</f>
        <v>Так</v>
      </c>
    </row>
    <row r="1127" spans="1:10" ht="135" x14ac:dyDescent="0.25">
      <c r="A1127" s="1" t="str">
        <f>"1128-2020/27"</f>
        <v>1128-2020/27</v>
      </c>
      <c r="B1127" s="1" t="str">
        <f t="shared" si="196"/>
        <v>19.02.2020</v>
      </c>
      <c r="C1127" s="1" t="str">
        <f t="shared" si="195"/>
        <v>Закрито</v>
      </c>
      <c r="D112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27" s="1" t="str">
        <f t="shared" si="198"/>
        <v>Земельні питання</v>
      </c>
      <c r="F11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27" s="1" t="str">
        <f>"1"</f>
        <v>1</v>
      </c>
      <c r="H1127" s="1" t="str">
        <f>"Результат"</f>
        <v>Результат</v>
      </c>
      <c r="I1127" s="1" t="str">
        <f t="shared" si="197"/>
        <v>Позитивний</v>
      </c>
      <c r="J1127" s="1" t="str">
        <f>"Так"</f>
        <v>Так</v>
      </c>
    </row>
    <row r="1128" spans="1:10" ht="105" x14ac:dyDescent="0.25">
      <c r="A1128" s="1" t="str">
        <f>"1145-2020/27"</f>
        <v>1145-2020/27</v>
      </c>
      <c r="B1128" s="1" t="str">
        <f t="shared" si="196"/>
        <v>19.02.2020</v>
      </c>
      <c r="C1128" s="1" t="str">
        <f t="shared" si="195"/>
        <v>Закрито</v>
      </c>
      <c r="D11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28" s="1" t="str">
        <f t="shared" si="198"/>
        <v>Земельні питання</v>
      </c>
      <c r="F112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28" s="1" t="str">
        <f>"1"</f>
        <v>1</v>
      </c>
      <c r="H1128" s="1" t="str">
        <f>"Результат"</f>
        <v>Результат</v>
      </c>
      <c r="I1128" s="1" t="str">
        <f t="shared" si="197"/>
        <v>Позитивний</v>
      </c>
      <c r="J1128" s="1" t="str">
        <f>"Так"</f>
        <v>Так</v>
      </c>
    </row>
    <row r="1129" spans="1:10" ht="135" x14ac:dyDescent="0.25">
      <c r="A1129" s="1" t="str">
        <f>"1134-2020/27"</f>
        <v>1134-2020/27</v>
      </c>
      <c r="B1129" s="1" t="str">
        <f t="shared" si="196"/>
        <v>19.02.2020</v>
      </c>
      <c r="C1129" s="1" t="str">
        <f t="shared" si="195"/>
        <v>Закрито</v>
      </c>
      <c r="D112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29" s="1" t="str">
        <f t="shared" si="198"/>
        <v>Земельні питання</v>
      </c>
      <c r="F11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29" s="1" t="str">
        <f>"1"</f>
        <v>1</v>
      </c>
      <c r="H1129" s="1" t="str">
        <f>"Результат"</f>
        <v>Результат</v>
      </c>
      <c r="I1129" s="1" t="str">
        <f t="shared" si="197"/>
        <v>Позитивний</v>
      </c>
      <c r="J1129" s="1" t="str">
        <f>"Так"</f>
        <v>Так</v>
      </c>
    </row>
    <row r="1130" spans="1:10" ht="135" x14ac:dyDescent="0.25">
      <c r="A1130" s="1" t="str">
        <f>"1158-2020/27"</f>
        <v>1158-2020/27</v>
      </c>
      <c r="B1130" s="1" t="str">
        <f t="shared" si="196"/>
        <v>19.02.2020</v>
      </c>
      <c r="C1130" s="1" t="str">
        <f t="shared" si="195"/>
        <v>Закрито</v>
      </c>
      <c r="D113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30" s="1" t="str">
        <f t="shared" si="198"/>
        <v>Земельні питання</v>
      </c>
      <c r="F11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30" s="1" t="str">
        <f>"14"</f>
        <v>14</v>
      </c>
      <c r="H1130" s="1" t="str">
        <f>"Результат"</f>
        <v>Результат</v>
      </c>
      <c r="I1130" s="1" t="str">
        <f t="shared" si="197"/>
        <v>Позитивний</v>
      </c>
      <c r="J1130" s="1" t="str">
        <f>"Ні"</f>
        <v>Ні</v>
      </c>
    </row>
    <row r="1131" spans="1:10" ht="135" x14ac:dyDescent="0.25">
      <c r="A1131" s="1" t="str">
        <f>"1143-2020/27"</f>
        <v>1143-2020/27</v>
      </c>
      <c r="B1131" s="1" t="str">
        <f t="shared" si="196"/>
        <v>19.02.2020</v>
      </c>
      <c r="C1131" s="1" t="str">
        <f t="shared" si="195"/>
        <v>Закрито</v>
      </c>
      <c r="D113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31" s="1" t="str">
        <f t="shared" si="198"/>
        <v>Земельні питання</v>
      </c>
      <c r="F11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31" s="1" t="str">
        <f>"3"</f>
        <v>3</v>
      </c>
      <c r="H1131" s="1" t="str">
        <f>"Результат"</f>
        <v>Результат</v>
      </c>
      <c r="I1131" s="1" t="str">
        <f t="shared" si="197"/>
        <v>Позитивний</v>
      </c>
      <c r="J1131" s="1" t="str">
        <f>"Ні"</f>
        <v>Ні</v>
      </c>
    </row>
    <row r="1132" spans="1:10" ht="45" x14ac:dyDescent="0.25">
      <c r="A1132" s="1" t="str">
        <f>"1149-2020/27"</f>
        <v>1149-2020/27</v>
      </c>
      <c r="B1132" s="1" t="str">
        <f t="shared" si="196"/>
        <v>19.02.2020</v>
      </c>
      <c r="C1132" s="1" t="str">
        <f t="shared" si="195"/>
        <v>Закрито</v>
      </c>
      <c r="D1132" s="1" t="str">
        <f>"Зняття з реєстрації місця проживання"</f>
        <v>Зняття з реєстрації місця проживання</v>
      </c>
      <c r="E1132" s="1" t="str">
        <f>"Реєстрація місця проживання"</f>
        <v>Реєстрація місця проживання</v>
      </c>
      <c r="F1132" s="1" t="str">
        <f>"Відділ реєстрації Новокаховської міської ради"</f>
        <v>Відділ реєстрації Новокаховської міської ради</v>
      </c>
      <c r="G1132" s="1" t="str">
        <f>"1"</f>
        <v>1</v>
      </c>
      <c r="H1132" s="1" t="str">
        <f>"Результат"</f>
        <v>Результат</v>
      </c>
      <c r="I1132" s="1" t="str">
        <f t="shared" si="197"/>
        <v>Позитивний</v>
      </c>
      <c r="J1132" s="1" t="str">
        <f>"Так"</f>
        <v>Так</v>
      </c>
    </row>
    <row r="1133" spans="1:10" ht="135" x14ac:dyDescent="0.25">
      <c r="A1133" s="1" t="str">
        <f>"1129-2020/27"</f>
        <v>1129-2020/27</v>
      </c>
      <c r="B1133" s="1" t="str">
        <f t="shared" si="196"/>
        <v>19.02.2020</v>
      </c>
      <c r="C1133" s="1" t="str">
        <f t="shared" si="195"/>
        <v>Закрито</v>
      </c>
      <c r="D11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33" s="1" t="str">
        <f>"Земельні питання"</f>
        <v>Земельні питання</v>
      </c>
      <c r="F11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33" s="1" t="str">
        <f>"1"</f>
        <v>1</v>
      </c>
      <c r="H1133" s="1" t="str">
        <f>"Результат"</f>
        <v>Результат</v>
      </c>
      <c r="I1133" s="1" t="str">
        <f t="shared" si="197"/>
        <v>Позитивний</v>
      </c>
      <c r="J1133" s="1" t="str">
        <f>"Так"</f>
        <v>Так</v>
      </c>
    </row>
    <row r="1134" spans="1:10" ht="45" x14ac:dyDescent="0.25">
      <c r="A1134" s="1" t="str">
        <f>"1154-2020/27"</f>
        <v>1154-2020/27</v>
      </c>
      <c r="B1134" s="1" t="str">
        <f t="shared" si="196"/>
        <v>19.02.2020</v>
      </c>
      <c r="C1134" s="1" t="str">
        <f t="shared" si="195"/>
        <v>Закрито</v>
      </c>
      <c r="D1134" s="1" t="str">
        <f>"Реєстрація місця проживання особи"</f>
        <v>Реєстрація місця проживання особи</v>
      </c>
      <c r="E1134" s="1" t="str">
        <f>"Реєстрація місця проживання"</f>
        <v>Реєстрація місця проживання</v>
      </c>
      <c r="F1134" s="1" t="str">
        <f>"Відділ реєстрації Новокаховської міської ради"</f>
        <v>Відділ реєстрації Новокаховської міської ради</v>
      </c>
      <c r="G1134" s="1" t="str">
        <f>"1"</f>
        <v>1</v>
      </c>
      <c r="H1134" s="1" t="str">
        <f>"Результат"</f>
        <v>Результат</v>
      </c>
      <c r="I1134" s="1" t="str">
        <f t="shared" si="197"/>
        <v>Позитивний</v>
      </c>
      <c r="J1134" s="1" t="str">
        <f>"Так"</f>
        <v>Так</v>
      </c>
    </row>
    <row r="1135" spans="1:10" ht="90" x14ac:dyDescent="0.25">
      <c r="A1135" s="1" t="str">
        <f>"1165-2020/27"</f>
        <v>1165-2020/27</v>
      </c>
      <c r="B1135" s="1" t="str">
        <f t="shared" ref="B1135:B1164" si="199">"20.02.2020"</f>
        <v>20.02.2020</v>
      </c>
      <c r="C1135" s="1" t="str">
        <f t="shared" si="195"/>
        <v>Закрито</v>
      </c>
      <c r="D113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135" s="1" t="str">
        <f>"Інші послуги"</f>
        <v>Інші послуги</v>
      </c>
      <c r="F113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135" s="1" t="str">
        <f>"5"</f>
        <v>5</v>
      </c>
      <c r="H1135" s="1" t="str">
        <f>"Результат"</f>
        <v>Результат</v>
      </c>
      <c r="I1135" s="1" t="str">
        <f t="shared" si="197"/>
        <v>Позитивний</v>
      </c>
      <c r="J1135" s="1" t="str">
        <f>"Ні"</f>
        <v>Ні</v>
      </c>
    </row>
    <row r="1136" spans="1:10" ht="45" x14ac:dyDescent="0.25">
      <c r="A1136" s="1" t="str">
        <f>"1164-2020/27"</f>
        <v>1164-2020/27</v>
      </c>
      <c r="B1136" s="1" t="str">
        <f t="shared" si="199"/>
        <v>20.02.2020</v>
      </c>
      <c r="C1136" s="1" t="str">
        <f t="shared" si="195"/>
        <v>Закрито</v>
      </c>
      <c r="D1136" s="1" t="str">
        <f>"Зняття з реєстрації місця проживання"</f>
        <v>Зняття з реєстрації місця проживання</v>
      </c>
      <c r="E1136" s="1" t="str">
        <f>"Реєстрація місця проживання"</f>
        <v>Реєстрація місця проживання</v>
      </c>
      <c r="F1136" s="1" t="str">
        <f>"Відділ реєстрації Новокаховської міської ради"</f>
        <v>Відділ реєстрації Новокаховської міської ради</v>
      </c>
      <c r="G1136" s="1" t="str">
        <f>"1"</f>
        <v>1</v>
      </c>
      <c r="H1136" s="1" t="str">
        <f>"Результат"</f>
        <v>Результат</v>
      </c>
      <c r="I1136" s="1" t="str">
        <f t="shared" si="197"/>
        <v>Позитивний</v>
      </c>
      <c r="J1136" s="1" t="str">
        <f>"Так"</f>
        <v>Так</v>
      </c>
    </row>
    <row r="1137" spans="1:10" ht="90" x14ac:dyDescent="0.25">
      <c r="A1137" s="1" t="str">
        <f>"1183-2020/27"</f>
        <v>1183-2020/27</v>
      </c>
      <c r="B1137" s="1" t="str">
        <f t="shared" si="199"/>
        <v>20.02.2020</v>
      </c>
      <c r="C1137" s="1" t="str">
        <f>"На обробці в адмін. органі"</f>
        <v>На обробці в адмін. органі</v>
      </c>
      <c r="D1137" s="1" t="str">
        <f>"Державна реєстрація рішення про відміну рішення про припинення громадського об'єднання"</f>
        <v>Державна реєстрація рішення про відміну рішення про припинення громадського об'єднання</v>
      </c>
      <c r="E1137" s="1" t="str">
        <f>"Державна реєстрація громадських об’єднань"</f>
        <v>Державна реєстрація громадських об’єднань</v>
      </c>
      <c r="F1137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137" s="1" t="str">
        <f>"3"</f>
        <v>3</v>
      </c>
      <c r="H1137" s="1" t="str">
        <f>"Пром. відповідь"</f>
        <v>Пром. відповідь</v>
      </c>
      <c r="I1137" s="1" t="str">
        <f>"Повідомлення"</f>
        <v>Повідомлення</v>
      </c>
      <c r="J1137" s="1" t="str">
        <f>"Ні"</f>
        <v>Ні</v>
      </c>
    </row>
    <row r="1138" spans="1:10" ht="45" x14ac:dyDescent="0.25">
      <c r="A1138" s="1" t="str">
        <f>"1172-2020/27"</f>
        <v>1172-2020/27</v>
      </c>
      <c r="B1138" s="1" t="str">
        <f t="shared" si="199"/>
        <v>20.02.2020</v>
      </c>
      <c r="C1138" s="1" t="str">
        <f t="shared" ref="C1138:C1169" si="200">"Закрито"</f>
        <v>Закрито</v>
      </c>
      <c r="D1138" s="1" t="str">
        <f>"Зняття з реєстрації місця проживання"</f>
        <v>Зняття з реєстрації місця проживання</v>
      </c>
      <c r="E1138" s="1" t="str">
        <f>"Реєстрація місця проживання"</f>
        <v>Реєстрація місця проживання</v>
      </c>
      <c r="F1138" s="1" t="str">
        <f>"Відділ реєстрації Новокаховської міської ради"</f>
        <v>Відділ реєстрації Новокаховської міської ради</v>
      </c>
      <c r="G1138" s="1" t="str">
        <f>"1"</f>
        <v>1</v>
      </c>
      <c r="H1138" s="1" t="str">
        <f>"Результат"</f>
        <v>Результат</v>
      </c>
      <c r="I1138" s="1" t="str">
        <f t="shared" ref="I1138:I1143" si="201">"Позитивний"</f>
        <v>Позитивний</v>
      </c>
      <c r="J1138" s="1" t="str">
        <f>"Так"</f>
        <v>Так</v>
      </c>
    </row>
    <row r="1139" spans="1:10" ht="45" x14ac:dyDescent="0.25">
      <c r="A1139" s="1" t="str">
        <f>"1176-2020/27"</f>
        <v>1176-2020/27</v>
      </c>
      <c r="B1139" s="1" t="str">
        <f t="shared" si="199"/>
        <v>20.02.2020</v>
      </c>
      <c r="C1139" s="1" t="str">
        <f t="shared" si="200"/>
        <v>Закрито</v>
      </c>
      <c r="D1139" s="1" t="str">
        <f>"Реєстрація місця проживання особи"</f>
        <v>Реєстрація місця проживання особи</v>
      </c>
      <c r="E1139" s="1" t="str">
        <f>"Реєстрація місця проживання"</f>
        <v>Реєстрація місця проживання</v>
      </c>
      <c r="F1139" s="1" t="str">
        <f>"Відділ реєстрації Новокаховської міської ради"</f>
        <v>Відділ реєстрації Новокаховської міської ради</v>
      </c>
      <c r="G1139" s="1" t="str">
        <f>"1"</f>
        <v>1</v>
      </c>
      <c r="H1139" s="1" t="str">
        <f>"Результат"</f>
        <v>Результат</v>
      </c>
      <c r="I1139" s="1" t="str">
        <f t="shared" si="201"/>
        <v>Позитивний</v>
      </c>
      <c r="J1139" s="1" t="str">
        <f>"Так"</f>
        <v>Так</v>
      </c>
    </row>
    <row r="1140" spans="1:10" ht="45" x14ac:dyDescent="0.25">
      <c r="A1140" s="1" t="str">
        <f>"1171-2020/27"</f>
        <v>1171-2020/27</v>
      </c>
      <c r="B1140" s="1" t="str">
        <f t="shared" si="199"/>
        <v>20.02.2020</v>
      </c>
      <c r="C1140" s="1" t="str">
        <f t="shared" si="200"/>
        <v>Закрито</v>
      </c>
      <c r="D1140" s="1" t="str">
        <f>"Зняття з реєстрації місця проживання"</f>
        <v>Зняття з реєстрації місця проживання</v>
      </c>
      <c r="E1140" s="1" t="str">
        <f>"Реєстрація місця проживання"</f>
        <v>Реєстрація місця проживання</v>
      </c>
      <c r="F1140" s="1" t="str">
        <f>"Відділ реєстрації Новокаховської міської ради"</f>
        <v>Відділ реєстрації Новокаховської міської ради</v>
      </c>
      <c r="G1140" s="1" t="str">
        <f>"1"</f>
        <v>1</v>
      </c>
      <c r="H1140" s="1" t="str">
        <f>"Результат"</f>
        <v>Результат</v>
      </c>
      <c r="I1140" s="1" t="str">
        <f t="shared" si="201"/>
        <v>Позитивний</v>
      </c>
      <c r="J1140" s="1" t="str">
        <f>"Так"</f>
        <v>Так</v>
      </c>
    </row>
    <row r="1141" spans="1:10" ht="45" x14ac:dyDescent="0.25">
      <c r="A1141" s="1" t="str">
        <f>"1170-2020/27"</f>
        <v>1170-2020/27</v>
      </c>
      <c r="B1141" s="1" t="str">
        <f t="shared" si="199"/>
        <v>20.02.2020</v>
      </c>
      <c r="C1141" s="1" t="str">
        <f t="shared" si="200"/>
        <v>Закрито</v>
      </c>
      <c r="D1141" s="1" t="str">
        <f>"Зняття з реєстрації місця проживання"</f>
        <v>Зняття з реєстрації місця проживання</v>
      </c>
      <c r="E1141" s="1" t="str">
        <f>"Реєстрація місця проживання"</f>
        <v>Реєстрація місця проживання</v>
      </c>
      <c r="F1141" s="1" t="str">
        <f>"Відділ реєстрації Новокаховської міської ради"</f>
        <v>Відділ реєстрації Новокаховської міської ради</v>
      </c>
      <c r="G1141" s="1" t="str">
        <f>"1"</f>
        <v>1</v>
      </c>
      <c r="H1141" s="1" t="str">
        <f>"Результат"</f>
        <v>Результат</v>
      </c>
      <c r="I1141" s="1" t="str">
        <f t="shared" si="201"/>
        <v>Позитивний</v>
      </c>
      <c r="J1141" s="1" t="str">
        <f>"Так"</f>
        <v>Так</v>
      </c>
    </row>
    <row r="1142" spans="1:10" ht="105" x14ac:dyDescent="0.25">
      <c r="A1142" s="1" t="str">
        <f>"1181-2020/27"</f>
        <v>1181-2020/27</v>
      </c>
      <c r="B1142" s="1" t="str">
        <f t="shared" si="199"/>
        <v>20.02.2020</v>
      </c>
      <c r="C1142" s="1" t="str">
        <f t="shared" si="200"/>
        <v>Закрито</v>
      </c>
      <c r="D114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42" s="1" t="str">
        <f>"Земельні питання"</f>
        <v>Земельні питання</v>
      </c>
      <c r="F114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42" s="1" t="str">
        <f>"1"</f>
        <v>1</v>
      </c>
      <c r="H1142" s="1" t="str">
        <f>"Результат"</f>
        <v>Результат</v>
      </c>
      <c r="I1142" s="1" t="str">
        <f t="shared" si="201"/>
        <v>Позитивний</v>
      </c>
      <c r="J1142" s="1" t="str">
        <f>"Так"</f>
        <v>Так</v>
      </c>
    </row>
    <row r="1143" spans="1:10" ht="135" x14ac:dyDescent="0.25">
      <c r="A1143" s="1" t="str">
        <f>"1179-2020/27"</f>
        <v>1179-2020/27</v>
      </c>
      <c r="B1143" s="1" t="str">
        <f t="shared" si="199"/>
        <v>20.02.2020</v>
      </c>
      <c r="C1143" s="1" t="str">
        <f t="shared" si="200"/>
        <v>Закрито</v>
      </c>
      <c r="D114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43" s="1" t="str">
        <f>"Земельні питання"</f>
        <v>Земельні питання</v>
      </c>
      <c r="F11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43" s="1" t="str">
        <f>"3"</f>
        <v>3</v>
      </c>
      <c r="H1143" s="1" t="str">
        <f>"Результат"</f>
        <v>Результат</v>
      </c>
      <c r="I1143" s="1" t="str">
        <f t="shared" si="201"/>
        <v>Позитивний</v>
      </c>
      <c r="J1143" s="1" t="str">
        <f>"Ні"</f>
        <v>Ні</v>
      </c>
    </row>
    <row r="1144" spans="1:10" ht="45" x14ac:dyDescent="0.25">
      <c r="A1144" s="1" t="str">
        <f>"1173-2020/27"</f>
        <v>1173-2020/27</v>
      </c>
      <c r="B1144" s="1" t="str">
        <f t="shared" si="199"/>
        <v>20.02.2020</v>
      </c>
      <c r="C1144" s="1" t="str">
        <f t="shared" si="200"/>
        <v>Закрито</v>
      </c>
      <c r="D1144" s="1" t="str">
        <f>"Реєстрація місця проживання особи"</f>
        <v>Реєстрація місця проживання особи</v>
      </c>
      <c r="E1144" s="1" t="str">
        <f>"Реєстрація місця проживання"</f>
        <v>Реєстрація місця проживання</v>
      </c>
      <c r="F1144" s="1" t="str">
        <f>"Відділ реєстрації Новокаховської міської ради"</f>
        <v>Відділ реєстрації Новокаховської міської ради</v>
      </c>
      <c r="G1144" s="1" t="str">
        <f>"1"</f>
        <v>1</v>
      </c>
      <c r="H1144" s="1" t="str">
        <f>"Результат"</f>
        <v>Результат</v>
      </c>
      <c r="I1144" s="1" t="str">
        <f>"Мотивована відмова"</f>
        <v>Мотивована відмова</v>
      </c>
      <c r="J1144" s="1" t="str">
        <f>"Так"</f>
        <v>Так</v>
      </c>
    </row>
    <row r="1145" spans="1:10" ht="135" x14ac:dyDescent="0.25">
      <c r="A1145" s="1" t="str">
        <f>"1178-2020/27"</f>
        <v>1178-2020/27</v>
      </c>
      <c r="B1145" s="1" t="str">
        <f t="shared" si="199"/>
        <v>20.02.2020</v>
      </c>
      <c r="C1145" s="1" t="str">
        <f t="shared" si="200"/>
        <v>Закрито</v>
      </c>
      <c r="D11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45" s="1" t="str">
        <f>"Земельні питання"</f>
        <v>Земельні питання</v>
      </c>
      <c r="F11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45" s="1" t="str">
        <f>"3"</f>
        <v>3</v>
      </c>
      <c r="H1145" s="1" t="str">
        <f>"Результат"</f>
        <v>Результат</v>
      </c>
      <c r="I1145" s="1" t="str">
        <f t="shared" ref="I1145:I1157" si="202">"Позитивний"</f>
        <v>Позитивний</v>
      </c>
      <c r="J1145" s="1" t="str">
        <f>"Ні"</f>
        <v>Ні</v>
      </c>
    </row>
    <row r="1146" spans="1:10" ht="195" x14ac:dyDescent="0.25">
      <c r="A1146" s="1" t="str">
        <f>"1182-2020/27"</f>
        <v>1182-2020/27</v>
      </c>
      <c r="B1146" s="1" t="str">
        <f t="shared" si="199"/>
        <v>20.02.2020</v>
      </c>
      <c r="C1146" s="1" t="str">
        <f t="shared" si="200"/>
        <v>Закрито</v>
      </c>
      <c r="D1146" s="1" t="s">
        <v>13</v>
      </c>
      <c r="E1146" s="1" t="str">
        <f>"Державна реєстрація громадських об’єднань"</f>
        <v>Державна реєстрація громадських об’єднань</v>
      </c>
      <c r="F1146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146" s="1" t="str">
        <f>"15"</f>
        <v>15</v>
      </c>
      <c r="H1146" s="1" t="str">
        <f>"Результат"</f>
        <v>Результат</v>
      </c>
      <c r="I1146" s="1" t="str">
        <f t="shared" si="202"/>
        <v>Позитивний</v>
      </c>
      <c r="J1146" s="1" t="str">
        <f>"Ні"</f>
        <v>Ні</v>
      </c>
    </row>
    <row r="1147" spans="1:10" ht="45" x14ac:dyDescent="0.25">
      <c r="A1147" s="1" t="str">
        <f>"1174-2020/27"</f>
        <v>1174-2020/27</v>
      </c>
      <c r="B1147" s="1" t="str">
        <f t="shared" si="199"/>
        <v>20.02.2020</v>
      </c>
      <c r="C1147" s="1" t="str">
        <f t="shared" si="200"/>
        <v>Закрито</v>
      </c>
      <c r="D1147" s="1" t="str">
        <f>"Зняття з реєстрації місця проживання"</f>
        <v>Зняття з реєстрації місця проживання</v>
      </c>
      <c r="E1147" s="1" t="str">
        <f>"Реєстрація місця проживання"</f>
        <v>Реєстрація місця проживання</v>
      </c>
      <c r="F1147" s="1" t="str">
        <f>"Відділ реєстрації Новокаховської міської ради"</f>
        <v>Відділ реєстрації Новокаховської міської ради</v>
      </c>
      <c r="G1147" s="1" t="str">
        <f>"1"</f>
        <v>1</v>
      </c>
      <c r="H1147" s="1" t="str">
        <f>"Результат"</f>
        <v>Результат</v>
      </c>
      <c r="I1147" s="1" t="str">
        <f t="shared" si="202"/>
        <v>Позитивний</v>
      </c>
      <c r="J1147" s="1" t="str">
        <f>"Так"</f>
        <v>Так</v>
      </c>
    </row>
    <row r="1148" spans="1:10" ht="45" x14ac:dyDescent="0.25">
      <c r="A1148" s="1" t="str">
        <f>"1168-2020/27"</f>
        <v>1168-2020/27</v>
      </c>
      <c r="B1148" s="1" t="str">
        <f t="shared" si="199"/>
        <v>20.02.2020</v>
      </c>
      <c r="C1148" s="1" t="str">
        <f t="shared" si="200"/>
        <v>Закрито</v>
      </c>
      <c r="D1148" s="1" t="str">
        <f>"Реєстрація місця проживання особи"</f>
        <v>Реєстрація місця проживання особи</v>
      </c>
      <c r="E1148" s="1" t="str">
        <f>"Реєстрація місця проживання"</f>
        <v>Реєстрація місця проживання</v>
      </c>
      <c r="F1148" s="1" t="str">
        <f>"Відділ реєстрації Новокаховської міської ради"</f>
        <v>Відділ реєстрації Новокаховської міської ради</v>
      </c>
      <c r="G1148" s="1" t="str">
        <f>"1"</f>
        <v>1</v>
      </c>
      <c r="H1148" s="1" t="str">
        <f>"Результат"</f>
        <v>Результат</v>
      </c>
      <c r="I1148" s="1" t="str">
        <f t="shared" si="202"/>
        <v>Позитивний</v>
      </c>
      <c r="J1148" s="1" t="str">
        <f>"Так"</f>
        <v>Так</v>
      </c>
    </row>
    <row r="1149" spans="1:10" ht="135" x14ac:dyDescent="0.25">
      <c r="A1149" s="1" t="str">
        <f>"1160-2020/27"</f>
        <v>1160-2020/27</v>
      </c>
      <c r="B1149" s="1" t="str">
        <f t="shared" si="199"/>
        <v>20.02.2020</v>
      </c>
      <c r="C1149" s="1" t="str">
        <f t="shared" si="200"/>
        <v>Закрито</v>
      </c>
      <c r="D114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49" s="1" t="str">
        <f>"Земельні питання"</f>
        <v>Земельні питання</v>
      </c>
      <c r="F11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49" s="1" t="str">
        <f>"3"</f>
        <v>3</v>
      </c>
      <c r="H1149" s="1" t="str">
        <f>"Результат"</f>
        <v>Результат</v>
      </c>
      <c r="I1149" s="1" t="str">
        <f t="shared" si="202"/>
        <v>Позитивний</v>
      </c>
      <c r="J1149" s="1" t="str">
        <f>"Ні"</f>
        <v>Ні</v>
      </c>
    </row>
    <row r="1150" spans="1:10" ht="45" x14ac:dyDescent="0.25">
      <c r="A1150" s="1" t="str">
        <f>"1185-2020/27"</f>
        <v>1185-2020/27</v>
      </c>
      <c r="B1150" s="1" t="str">
        <f t="shared" si="199"/>
        <v>20.02.2020</v>
      </c>
      <c r="C1150" s="1" t="str">
        <f t="shared" si="200"/>
        <v>Закрито</v>
      </c>
      <c r="D1150" s="1" t="str">
        <f>"Зняття з реєстрації місця проживання"</f>
        <v>Зняття з реєстрації місця проживання</v>
      </c>
      <c r="E1150" s="1" t="str">
        <f>"Реєстрація місця проживання"</f>
        <v>Реєстрація місця проживання</v>
      </c>
      <c r="F1150" s="1" t="str">
        <f>"Відділ реєстрації Новокаховської міської ради"</f>
        <v>Відділ реєстрації Новокаховської міської ради</v>
      </c>
      <c r="G1150" s="1" t="str">
        <f>"1"</f>
        <v>1</v>
      </c>
      <c r="H1150" s="1" t="str">
        <f>"Результат"</f>
        <v>Результат</v>
      </c>
      <c r="I1150" s="1" t="str">
        <f t="shared" si="202"/>
        <v>Позитивний</v>
      </c>
      <c r="J1150" s="1" t="str">
        <f>"Так"</f>
        <v>Так</v>
      </c>
    </row>
    <row r="1151" spans="1:10" ht="135" x14ac:dyDescent="0.25">
      <c r="A1151" s="1" t="str">
        <f>"1177-2020/27"</f>
        <v>1177-2020/27</v>
      </c>
      <c r="B1151" s="1" t="str">
        <f t="shared" si="199"/>
        <v>20.02.2020</v>
      </c>
      <c r="C1151" s="1" t="str">
        <f t="shared" si="200"/>
        <v>Закрито</v>
      </c>
      <c r="D115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51" s="1" t="str">
        <f>"Земельні питання"</f>
        <v>Земельні питання</v>
      </c>
      <c r="F11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51" s="1" t="str">
        <f>"3"</f>
        <v>3</v>
      </c>
      <c r="H1151" s="1" t="str">
        <f>"Результат"</f>
        <v>Результат</v>
      </c>
      <c r="I1151" s="1" t="str">
        <f t="shared" si="202"/>
        <v>Позитивний</v>
      </c>
      <c r="J1151" s="1" t="str">
        <f>"Ні"</f>
        <v>Ні</v>
      </c>
    </row>
    <row r="1152" spans="1:10" ht="135" x14ac:dyDescent="0.25">
      <c r="A1152" s="1" t="str">
        <f>"1161-2020/27"</f>
        <v>1161-2020/27</v>
      </c>
      <c r="B1152" s="1" t="str">
        <f t="shared" si="199"/>
        <v>20.02.2020</v>
      </c>
      <c r="C1152" s="1" t="str">
        <f t="shared" si="200"/>
        <v>Закрито</v>
      </c>
      <c r="D1152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152" s="1" t="str">
        <f>"Земельні питання"</f>
        <v>Земельні питання</v>
      </c>
      <c r="F11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52" s="1" t="str">
        <f>"14"</f>
        <v>14</v>
      </c>
      <c r="H1152" s="1" t="str">
        <f>"Результат"</f>
        <v>Результат</v>
      </c>
      <c r="I1152" s="1" t="str">
        <f t="shared" si="202"/>
        <v>Позитивний</v>
      </c>
      <c r="J1152" s="1" t="str">
        <f>"Ні"</f>
        <v>Ні</v>
      </c>
    </row>
    <row r="1153" spans="1:10" ht="135" x14ac:dyDescent="0.25">
      <c r="A1153" s="1" t="str">
        <f>"1162-2020/27"</f>
        <v>1162-2020/27</v>
      </c>
      <c r="B1153" s="1" t="str">
        <f t="shared" si="199"/>
        <v>20.02.2020</v>
      </c>
      <c r="C1153" s="1" t="str">
        <f t="shared" si="200"/>
        <v>Закрито</v>
      </c>
      <c r="D1153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153" s="1" t="str">
        <f>"Земельні питання"</f>
        <v>Земельні питання</v>
      </c>
      <c r="F11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53" s="1" t="str">
        <f>"14"</f>
        <v>14</v>
      </c>
      <c r="H1153" s="1" t="str">
        <f>"Результат"</f>
        <v>Результат</v>
      </c>
      <c r="I1153" s="1" t="str">
        <f t="shared" si="202"/>
        <v>Позитивний</v>
      </c>
      <c r="J1153" s="1" t="str">
        <f>"Ні"</f>
        <v>Ні</v>
      </c>
    </row>
    <row r="1154" spans="1:10" ht="45" x14ac:dyDescent="0.25">
      <c r="A1154" s="1" t="str">
        <f>"1184-2020/27"</f>
        <v>1184-2020/27</v>
      </c>
      <c r="B1154" s="1" t="str">
        <f t="shared" si="199"/>
        <v>20.02.2020</v>
      </c>
      <c r="C1154" s="1" t="str">
        <f t="shared" si="200"/>
        <v>Закрито</v>
      </c>
      <c r="D1154" s="1" t="str">
        <f>"Реєстрація місця проживання особи"</f>
        <v>Реєстрація місця проживання особи</v>
      </c>
      <c r="E1154" s="1" t="str">
        <f>"Реєстрація місця проживання"</f>
        <v>Реєстрація місця проживання</v>
      </c>
      <c r="F1154" s="1" t="str">
        <f>"Відділ реєстрації Новокаховської міської ради"</f>
        <v>Відділ реєстрації Новокаховської міської ради</v>
      </c>
      <c r="G1154" s="1" t="str">
        <f>"1"</f>
        <v>1</v>
      </c>
      <c r="H1154" s="1" t="str">
        <f>"Результат"</f>
        <v>Результат</v>
      </c>
      <c r="I1154" s="1" t="str">
        <f t="shared" si="202"/>
        <v>Позитивний</v>
      </c>
      <c r="J1154" s="1" t="str">
        <f>"Так"</f>
        <v>Так</v>
      </c>
    </row>
    <row r="1155" spans="1:10" ht="135" x14ac:dyDescent="0.25">
      <c r="A1155" s="1" t="str">
        <f>"1187-2020/27"</f>
        <v>1187-2020/27</v>
      </c>
      <c r="B1155" s="1" t="str">
        <f t="shared" si="199"/>
        <v>20.02.2020</v>
      </c>
      <c r="C1155" s="1" t="str">
        <f t="shared" si="200"/>
        <v>Закрито</v>
      </c>
      <c r="D115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55" s="1" t="str">
        <f>"Земельні питання"</f>
        <v>Земельні питання</v>
      </c>
      <c r="F11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55" s="1" t="str">
        <f>"1"</f>
        <v>1</v>
      </c>
      <c r="H1155" s="1" t="str">
        <f>"Результат"</f>
        <v>Результат</v>
      </c>
      <c r="I1155" s="1" t="str">
        <f t="shared" si="202"/>
        <v>Позитивний</v>
      </c>
      <c r="J1155" s="1" t="str">
        <f>"Так"</f>
        <v>Так</v>
      </c>
    </row>
    <row r="1156" spans="1:10" ht="90" x14ac:dyDescent="0.25">
      <c r="A1156" s="1" t="str">
        <f>"1167-2020/27"</f>
        <v>1167-2020/27</v>
      </c>
      <c r="B1156" s="1" t="str">
        <f t="shared" si="199"/>
        <v>20.02.2020</v>
      </c>
      <c r="C1156" s="1" t="str">
        <f t="shared" si="200"/>
        <v>Закрито</v>
      </c>
      <c r="D115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156" s="1" t="str">
        <f>"Інші послуги"</f>
        <v>Інші послуги</v>
      </c>
      <c r="F115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156" s="1" t="str">
        <f>"5"</f>
        <v>5</v>
      </c>
      <c r="H1156" s="1" t="str">
        <f>"Результат"</f>
        <v>Результат</v>
      </c>
      <c r="I1156" s="1" t="str">
        <f t="shared" si="202"/>
        <v>Позитивний</v>
      </c>
      <c r="J1156" s="1" t="str">
        <f>"Ні"</f>
        <v>Ні</v>
      </c>
    </row>
    <row r="1157" spans="1:10" ht="45" x14ac:dyDescent="0.25">
      <c r="A1157" s="1" t="str">
        <f>"1175-2020/27"</f>
        <v>1175-2020/27</v>
      </c>
      <c r="B1157" s="1" t="str">
        <f t="shared" si="199"/>
        <v>20.02.2020</v>
      </c>
      <c r="C1157" s="1" t="str">
        <f t="shared" si="200"/>
        <v>Закрито</v>
      </c>
      <c r="D1157" s="1" t="str">
        <f>"Реєстрація місця проживання особи"</f>
        <v>Реєстрація місця проживання особи</v>
      </c>
      <c r="E1157" s="1" t="str">
        <f>"Реєстрація місця проживання"</f>
        <v>Реєстрація місця проживання</v>
      </c>
      <c r="F1157" s="1" t="str">
        <f>"Відділ реєстрації Новокаховської міської ради"</f>
        <v>Відділ реєстрації Новокаховської міської ради</v>
      </c>
      <c r="G1157" s="1" t="str">
        <f>"1"</f>
        <v>1</v>
      </c>
      <c r="H1157" s="1" t="str">
        <f>"Результат"</f>
        <v>Результат</v>
      </c>
      <c r="I1157" s="1" t="str">
        <f t="shared" si="202"/>
        <v>Позитивний</v>
      </c>
      <c r="J1157" s="1" t="str">
        <f>"Так"</f>
        <v>Так</v>
      </c>
    </row>
    <row r="1158" spans="1:10" ht="135" x14ac:dyDescent="0.25">
      <c r="A1158" s="1" t="str">
        <f>"1188-2020/27"</f>
        <v>1188-2020/27</v>
      </c>
      <c r="B1158" s="1" t="str">
        <f t="shared" si="199"/>
        <v>20.02.2020</v>
      </c>
      <c r="C1158" s="1" t="str">
        <f t="shared" si="200"/>
        <v>Закрито</v>
      </c>
      <c r="D115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58" s="1" t="str">
        <f>"Земельні питання"</f>
        <v>Земельні питання</v>
      </c>
      <c r="F11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58" s="1" t="str">
        <f>"3"</f>
        <v>3</v>
      </c>
      <c r="H1158" s="1" t="str">
        <f>"Результат"</f>
        <v>Результат</v>
      </c>
      <c r="I1158" s="1" t="str">
        <f>"Мотивована відмова"</f>
        <v>Мотивована відмова</v>
      </c>
      <c r="J1158" s="1" t="str">
        <f>"Ні"</f>
        <v>Ні</v>
      </c>
    </row>
    <row r="1159" spans="1:10" ht="135" x14ac:dyDescent="0.25">
      <c r="A1159" s="1" t="str">
        <f>"1163-2020/27"</f>
        <v>1163-2020/27</v>
      </c>
      <c r="B1159" s="1" t="str">
        <f t="shared" si="199"/>
        <v>20.02.2020</v>
      </c>
      <c r="C1159" s="1" t="str">
        <f t="shared" si="200"/>
        <v>Закрито</v>
      </c>
      <c r="D115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159" s="1" t="str">
        <f>"Земельні питання"</f>
        <v>Земельні питання</v>
      </c>
      <c r="F11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59" s="1" t="str">
        <f>"14"</f>
        <v>14</v>
      </c>
      <c r="H1159" s="1" t="str">
        <f>"Результат"</f>
        <v>Результат</v>
      </c>
      <c r="I1159" s="1" t="str">
        <f>"Позитивний"</f>
        <v>Позитивний</v>
      </c>
      <c r="J1159" s="1" t="str">
        <f>"Ні"</f>
        <v>Ні</v>
      </c>
    </row>
    <row r="1160" spans="1:10" ht="135" x14ac:dyDescent="0.25">
      <c r="A1160" s="1" t="str">
        <f>"1189-2020/27"</f>
        <v>1189-2020/27</v>
      </c>
      <c r="B1160" s="1" t="str">
        <f t="shared" si="199"/>
        <v>20.02.2020</v>
      </c>
      <c r="C1160" s="1" t="str">
        <f t="shared" si="200"/>
        <v>Закрито</v>
      </c>
      <c r="D116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60" s="1" t="str">
        <f>"Земельні питання"</f>
        <v>Земельні питання</v>
      </c>
      <c r="F11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60" s="1" t="str">
        <f>"3"</f>
        <v>3</v>
      </c>
      <c r="H1160" s="1" t="str">
        <f>"Результат"</f>
        <v>Результат</v>
      </c>
      <c r="I1160" s="1" t="str">
        <f>"Мотивована відмова"</f>
        <v>Мотивована відмова</v>
      </c>
      <c r="J1160" s="1" t="str">
        <f>"Ні"</f>
        <v>Ні</v>
      </c>
    </row>
    <row r="1161" spans="1:10" ht="135" x14ac:dyDescent="0.25">
      <c r="A1161" s="1" t="str">
        <f>"1186-2020/27"</f>
        <v>1186-2020/27</v>
      </c>
      <c r="B1161" s="1" t="str">
        <f t="shared" si="199"/>
        <v>20.02.2020</v>
      </c>
      <c r="C1161" s="1" t="str">
        <f t="shared" si="200"/>
        <v>Закрито</v>
      </c>
      <c r="D11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61" s="1" t="str">
        <f>"Земельні питання"</f>
        <v>Земельні питання</v>
      </c>
      <c r="F11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61" s="1" t="str">
        <f>"1"</f>
        <v>1</v>
      </c>
      <c r="H1161" s="1" t="str">
        <f>"Результат"</f>
        <v>Результат</v>
      </c>
      <c r="I1161" s="1" t="str">
        <f t="shared" ref="I1161:I1168" si="203">"Позитивний"</f>
        <v>Позитивний</v>
      </c>
      <c r="J1161" s="1" t="str">
        <f>"Так"</f>
        <v>Так</v>
      </c>
    </row>
    <row r="1162" spans="1:10" ht="105" x14ac:dyDescent="0.25">
      <c r="A1162" s="1" t="str">
        <f>"1180-2020/27"</f>
        <v>1180-2020/27</v>
      </c>
      <c r="B1162" s="1" t="str">
        <f t="shared" si="199"/>
        <v>20.02.2020</v>
      </c>
      <c r="C1162" s="1" t="str">
        <f t="shared" si="200"/>
        <v>Закрито</v>
      </c>
      <c r="D116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62" s="1" t="str">
        <f>"Земельні питання"</f>
        <v>Земельні питання</v>
      </c>
      <c r="F116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62" s="1" t="str">
        <f>"1"</f>
        <v>1</v>
      </c>
      <c r="H1162" s="1" t="str">
        <f>"Результат"</f>
        <v>Результат</v>
      </c>
      <c r="I1162" s="1" t="str">
        <f t="shared" si="203"/>
        <v>Позитивний</v>
      </c>
      <c r="J1162" s="1" t="str">
        <f>"Так"</f>
        <v>Так</v>
      </c>
    </row>
    <row r="1163" spans="1:10" ht="45" x14ac:dyDescent="0.25">
      <c r="A1163" s="1" t="str">
        <f>"1166-2020/27"</f>
        <v>1166-2020/27</v>
      </c>
      <c r="B1163" s="1" t="str">
        <f t="shared" si="199"/>
        <v>20.02.2020</v>
      </c>
      <c r="C1163" s="1" t="str">
        <f t="shared" si="200"/>
        <v>Закрито</v>
      </c>
      <c r="D1163" s="1" t="str">
        <f>"Зняття з реєстрації місця проживання"</f>
        <v>Зняття з реєстрації місця проживання</v>
      </c>
      <c r="E1163" s="1" t="str">
        <f>"Реєстрація місця проживання"</f>
        <v>Реєстрація місця проживання</v>
      </c>
      <c r="F1163" s="1" t="str">
        <f>"Відділ реєстрації Новокаховської міської ради"</f>
        <v>Відділ реєстрації Новокаховської міської ради</v>
      </c>
      <c r="G1163" s="1" t="str">
        <f>"1"</f>
        <v>1</v>
      </c>
      <c r="H1163" s="1" t="str">
        <f>"Результат"</f>
        <v>Результат</v>
      </c>
      <c r="I1163" s="1" t="str">
        <f t="shared" si="203"/>
        <v>Позитивний</v>
      </c>
      <c r="J1163" s="1" t="str">
        <f>"Так"</f>
        <v>Так</v>
      </c>
    </row>
    <row r="1164" spans="1:10" ht="45" x14ac:dyDescent="0.25">
      <c r="A1164" s="1" t="str">
        <f>"1169-2020/27"</f>
        <v>1169-2020/27</v>
      </c>
      <c r="B1164" s="1" t="str">
        <f t="shared" si="199"/>
        <v>20.02.2020</v>
      </c>
      <c r="C1164" s="1" t="str">
        <f t="shared" si="200"/>
        <v>Закрито</v>
      </c>
      <c r="D1164" s="1" t="str">
        <f>"Зняття з реєстрації місця проживання"</f>
        <v>Зняття з реєстрації місця проживання</v>
      </c>
      <c r="E1164" s="1" t="str">
        <f>"Реєстрація місця проживання"</f>
        <v>Реєстрація місця проживання</v>
      </c>
      <c r="F1164" s="1" t="str">
        <f>"Відділ реєстрації Новокаховської міської ради"</f>
        <v>Відділ реєстрації Новокаховської міської ради</v>
      </c>
      <c r="G1164" s="1" t="str">
        <f>"1"</f>
        <v>1</v>
      </c>
      <c r="H1164" s="1" t="str">
        <f>"Результат"</f>
        <v>Результат</v>
      </c>
      <c r="I1164" s="1" t="str">
        <f t="shared" si="203"/>
        <v>Позитивний</v>
      </c>
      <c r="J1164" s="1" t="str">
        <f>"Так"</f>
        <v>Так</v>
      </c>
    </row>
    <row r="1165" spans="1:10" ht="135" x14ac:dyDescent="0.25">
      <c r="A1165" s="1" t="str">
        <f>"1199-2020/27"</f>
        <v>1199-2020/27</v>
      </c>
      <c r="B1165" s="1" t="str">
        <f t="shared" ref="B1165:B1185" si="204">"21.02.2020"</f>
        <v>21.02.2020</v>
      </c>
      <c r="C1165" s="1" t="str">
        <f t="shared" si="200"/>
        <v>Закрито</v>
      </c>
      <c r="D116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65" s="1" t="str">
        <f>"Земельні питання"</f>
        <v>Земельні питання</v>
      </c>
      <c r="F11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65" s="1" t="str">
        <f>"14"</f>
        <v>14</v>
      </c>
      <c r="H1165" s="1" t="str">
        <f>"Результат"</f>
        <v>Результат</v>
      </c>
      <c r="I1165" s="1" t="str">
        <f t="shared" si="203"/>
        <v>Позитивний</v>
      </c>
      <c r="J1165" s="1" t="str">
        <f>"Ні"</f>
        <v>Ні</v>
      </c>
    </row>
    <row r="1166" spans="1:10" ht="135" x14ac:dyDescent="0.25">
      <c r="A1166" s="1" t="str">
        <f>"1193-2020/27"</f>
        <v>1193-2020/27</v>
      </c>
      <c r="B1166" s="1" t="str">
        <f t="shared" si="204"/>
        <v>21.02.2020</v>
      </c>
      <c r="C1166" s="1" t="str">
        <f t="shared" si="200"/>
        <v>Закрито</v>
      </c>
      <c r="D116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66" s="1" t="str">
        <f>"Земельні питання"</f>
        <v>Земельні питання</v>
      </c>
      <c r="F11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66" s="1" t="str">
        <f>"14"</f>
        <v>14</v>
      </c>
      <c r="H1166" s="1" t="str">
        <f>"Результат"</f>
        <v>Результат</v>
      </c>
      <c r="I1166" s="1" t="str">
        <f t="shared" si="203"/>
        <v>Позитивний</v>
      </c>
      <c r="J1166" s="1" t="str">
        <f>"Ні"</f>
        <v>Ні</v>
      </c>
    </row>
    <row r="1167" spans="1:10" ht="45" x14ac:dyDescent="0.25">
      <c r="A1167" s="1" t="str">
        <f>"1203-2020/27"</f>
        <v>1203-2020/27</v>
      </c>
      <c r="B1167" s="1" t="str">
        <f t="shared" si="204"/>
        <v>21.02.2020</v>
      </c>
      <c r="C1167" s="1" t="str">
        <f t="shared" si="200"/>
        <v>Закрито</v>
      </c>
      <c r="D1167" s="1" t="str">
        <f>"Реєстрація місця проживання особи"</f>
        <v>Реєстрація місця проживання особи</v>
      </c>
      <c r="E1167" s="1" t="str">
        <f>"Реєстрація місця проживання"</f>
        <v>Реєстрація місця проживання</v>
      </c>
      <c r="F1167" s="1" t="str">
        <f>"Відділ реєстрації Новокаховської міської ради"</f>
        <v>Відділ реєстрації Новокаховської міської ради</v>
      </c>
      <c r="G1167" s="1" t="str">
        <f>"1"</f>
        <v>1</v>
      </c>
      <c r="H1167" s="1" t="str">
        <f>"Результат"</f>
        <v>Результат</v>
      </c>
      <c r="I1167" s="1" t="str">
        <f t="shared" si="203"/>
        <v>Позитивний</v>
      </c>
      <c r="J1167" s="1" t="str">
        <f>"Так"</f>
        <v>Так</v>
      </c>
    </row>
    <row r="1168" spans="1:10" ht="105" x14ac:dyDescent="0.25">
      <c r="A1168" s="1" t="str">
        <f>"1196-2020/27"</f>
        <v>1196-2020/27</v>
      </c>
      <c r="B1168" s="1" t="str">
        <f t="shared" si="204"/>
        <v>21.02.2020</v>
      </c>
      <c r="C1168" s="1" t="str">
        <f t="shared" si="200"/>
        <v>Закрито</v>
      </c>
      <c r="D116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68" s="1" t="str">
        <f>"Земельні питання"</f>
        <v>Земельні питання</v>
      </c>
      <c r="F116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68" s="1" t="str">
        <f>"1"</f>
        <v>1</v>
      </c>
      <c r="H1168" s="1" t="str">
        <f>"Результат"</f>
        <v>Результат</v>
      </c>
      <c r="I1168" s="1" t="str">
        <f t="shared" si="203"/>
        <v>Позитивний</v>
      </c>
      <c r="J1168" s="1" t="str">
        <f>"Так"</f>
        <v>Так</v>
      </c>
    </row>
    <row r="1169" spans="1:10" ht="45" x14ac:dyDescent="0.25">
      <c r="A1169" s="1" t="str">
        <f>"1192-2020/27"</f>
        <v>1192-2020/27</v>
      </c>
      <c r="B1169" s="1" t="str">
        <f t="shared" si="204"/>
        <v>21.02.2020</v>
      </c>
      <c r="C1169" s="1" t="str">
        <f t="shared" si="200"/>
        <v>Закрито</v>
      </c>
      <c r="D1169" s="1" t="str">
        <f>"Реєстрація місця проживання особи"</f>
        <v>Реєстрація місця проживання особи</v>
      </c>
      <c r="E1169" s="1" t="str">
        <f>"Реєстрація місця проживання"</f>
        <v>Реєстрація місця проживання</v>
      </c>
      <c r="F1169" s="1" t="str">
        <f>"Відділ реєстрації Новокаховської міської ради"</f>
        <v>Відділ реєстрації Новокаховської міської ради</v>
      </c>
      <c r="G1169" s="1" t="str">
        <f>"1"</f>
        <v>1</v>
      </c>
      <c r="H1169" s="1" t="str">
        <f>"Результат"</f>
        <v>Результат</v>
      </c>
      <c r="I1169" s="1" t="str">
        <f>"Мотивована відмова"</f>
        <v>Мотивована відмова</v>
      </c>
      <c r="J1169" s="1" t="str">
        <f>"Так"</f>
        <v>Так</v>
      </c>
    </row>
    <row r="1170" spans="1:10" ht="225" x14ac:dyDescent="0.25">
      <c r="A1170" s="1" t="str">
        <f>"1210-2020/27"</f>
        <v>1210-2020/27</v>
      </c>
      <c r="B1170" s="1" t="str">
        <f t="shared" si="204"/>
        <v>21.02.2020</v>
      </c>
      <c r="C1170" s="1" t="str">
        <f>"На обробці в адмін. органі"</f>
        <v>На обробці в адмін. органі</v>
      </c>
      <c r="D1170" s="1" t="s">
        <v>1</v>
      </c>
      <c r="E1170" s="1" t="str">
        <f>"Будівництво"</f>
        <v>Будівництво</v>
      </c>
      <c r="F117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170" s="1" t="str">
        <f>"30"</f>
        <v>30</v>
      </c>
      <c r="H1170" s="1" t="str">
        <f>""</f>
        <v/>
      </c>
      <c r="I1170" s="1" t="str">
        <f>""</f>
        <v/>
      </c>
      <c r="J1170" s="1" t="str">
        <f>"Ні"</f>
        <v>Ні</v>
      </c>
    </row>
    <row r="1171" spans="1:10" ht="135" x14ac:dyDescent="0.25">
      <c r="A1171" s="1" t="str">
        <f>"1202-2020/27"</f>
        <v>1202-2020/27</v>
      </c>
      <c r="B1171" s="1" t="str">
        <f t="shared" si="204"/>
        <v>21.02.2020</v>
      </c>
      <c r="C1171" s="1" t="str">
        <f t="shared" ref="C1171:C1194" si="205">"Закрито"</f>
        <v>Закрито</v>
      </c>
      <c r="D117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71" s="1" t="str">
        <f>"Земельні питання"</f>
        <v>Земельні питання</v>
      </c>
      <c r="F11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71" s="1" t="str">
        <f>"14"</f>
        <v>14</v>
      </c>
      <c r="H1171" s="1" t="str">
        <f>"Результат"</f>
        <v>Результат</v>
      </c>
      <c r="I1171" s="1" t="str">
        <f t="shared" ref="I1171:I1194" si="206">"Позитивний"</f>
        <v>Позитивний</v>
      </c>
      <c r="J1171" s="1" t="str">
        <f>"Ні"</f>
        <v>Ні</v>
      </c>
    </row>
    <row r="1172" spans="1:10" ht="45" x14ac:dyDescent="0.25">
      <c r="A1172" s="1" t="str">
        <f>"1195-2020/27"</f>
        <v>1195-2020/27</v>
      </c>
      <c r="B1172" s="1" t="str">
        <f t="shared" si="204"/>
        <v>21.02.2020</v>
      </c>
      <c r="C1172" s="1" t="str">
        <f t="shared" si="205"/>
        <v>Закрито</v>
      </c>
      <c r="D1172" s="1" t="str">
        <f>"Реєстрація місця проживання особи"</f>
        <v>Реєстрація місця проживання особи</v>
      </c>
      <c r="E1172" s="1" t="str">
        <f>"Реєстрація місця проживання"</f>
        <v>Реєстрація місця проживання</v>
      </c>
      <c r="F1172" s="1" t="str">
        <f>"Відділ реєстрації Новокаховської міської ради"</f>
        <v>Відділ реєстрації Новокаховської міської ради</v>
      </c>
      <c r="G1172" s="1" t="str">
        <f>"1"</f>
        <v>1</v>
      </c>
      <c r="H1172" s="1" t="str">
        <f>"Результат"</f>
        <v>Результат</v>
      </c>
      <c r="I1172" s="1" t="str">
        <f t="shared" si="206"/>
        <v>Позитивний</v>
      </c>
      <c r="J1172" s="1" t="str">
        <f>"Так"</f>
        <v>Так</v>
      </c>
    </row>
    <row r="1173" spans="1:10" ht="105" x14ac:dyDescent="0.25">
      <c r="A1173" s="1" t="str">
        <f>"1197-2020/27"</f>
        <v>1197-2020/27</v>
      </c>
      <c r="B1173" s="1" t="str">
        <f t="shared" si="204"/>
        <v>21.02.2020</v>
      </c>
      <c r="C1173" s="1" t="str">
        <f t="shared" si="205"/>
        <v>Закрито</v>
      </c>
      <c r="D117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73" s="1" t="str">
        <f>"Земельні питання"</f>
        <v>Земельні питання</v>
      </c>
      <c r="F117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73" s="1" t="str">
        <f>"1"</f>
        <v>1</v>
      </c>
      <c r="H1173" s="1" t="str">
        <f>"Результат"</f>
        <v>Результат</v>
      </c>
      <c r="I1173" s="1" t="str">
        <f t="shared" si="206"/>
        <v>Позитивний</v>
      </c>
      <c r="J1173" s="1" t="str">
        <f>"Так"</f>
        <v>Так</v>
      </c>
    </row>
    <row r="1174" spans="1:10" ht="135" x14ac:dyDescent="0.25">
      <c r="A1174" s="1" t="str">
        <f>"1201-2020/27"</f>
        <v>1201-2020/27</v>
      </c>
      <c r="B1174" s="1" t="str">
        <f t="shared" si="204"/>
        <v>21.02.2020</v>
      </c>
      <c r="C1174" s="1" t="str">
        <f t="shared" si="205"/>
        <v>Закрито</v>
      </c>
      <c r="D117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74" s="1" t="str">
        <f>"Земельні питання"</f>
        <v>Земельні питання</v>
      </c>
      <c r="F11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74" s="1" t="str">
        <f>"14"</f>
        <v>14</v>
      </c>
      <c r="H1174" s="1" t="str">
        <f>"Результат"</f>
        <v>Результат</v>
      </c>
      <c r="I1174" s="1" t="str">
        <f t="shared" si="206"/>
        <v>Позитивний</v>
      </c>
      <c r="J1174" s="1" t="str">
        <f>"Ні"</f>
        <v>Ні</v>
      </c>
    </row>
    <row r="1175" spans="1:10" ht="135" x14ac:dyDescent="0.25">
      <c r="A1175" s="1" t="str">
        <f>"1194-2020/27"</f>
        <v>1194-2020/27</v>
      </c>
      <c r="B1175" s="1" t="str">
        <f t="shared" si="204"/>
        <v>21.02.2020</v>
      </c>
      <c r="C1175" s="1" t="str">
        <f t="shared" si="205"/>
        <v>Закрито</v>
      </c>
      <c r="D117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75" s="1" t="str">
        <f>"Земельні питання"</f>
        <v>Земельні питання</v>
      </c>
      <c r="F11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75" s="1" t="str">
        <f>"3"</f>
        <v>3</v>
      </c>
      <c r="H1175" s="1" t="str">
        <f>"Результат"</f>
        <v>Результат</v>
      </c>
      <c r="I1175" s="1" t="str">
        <f t="shared" si="206"/>
        <v>Позитивний</v>
      </c>
      <c r="J1175" s="1" t="str">
        <f>"Ні"</f>
        <v>Ні</v>
      </c>
    </row>
    <row r="1176" spans="1:10" ht="135" x14ac:dyDescent="0.25">
      <c r="A1176" s="1" t="str">
        <f>"1200-2020/27"</f>
        <v>1200-2020/27</v>
      </c>
      <c r="B1176" s="1" t="str">
        <f t="shared" si="204"/>
        <v>21.02.2020</v>
      </c>
      <c r="C1176" s="1" t="str">
        <f t="shared" si="205"/>
        <v>Закрито</v>
      </c>
      <c r="D117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76" s="1" t="str">
        <f>"Земельні питання"</f>
        <v>Земельні питання</v>
      </c>
      <c r="F11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76" s="1" t="str">
        <f>"14"</f>
        <v>14</v>
      </c>
      <c r="H1176" s="1" t="str">
        <f>"Результат"</f>
        <v>Результат</v>
      </c>
      <c r="I1176" s="1" t="str">
        <f t="shared" si="206"/>
        <v>Позитивний</v>
      </c>
      <c r="J1176" s="1" t="str">
        <f>"Ні"</f>
        <v>Ні</v>
      </c>
    </row>
    <row r="1177" spans="1:10" ht="45" x14ac:dyDescent="0.25">
      <c r="A1177" s="1" t="str">
        <f>"1191-2020/27"</f>
        <v>1191-2020/27</v>
      </c>
      <c r="B1177" s="1" t="str">
        <f t="shared" si="204"/>
        <v>21.02.2020</v>
      </c>
      <c r="C1177" s="1" t="str">
        <f t="shared" si="205"/>
        <v>Закрито</v>
      </c>
      <c r="D1177" s="1" t="str">
        <f>"Реєстрація місця проживання особи"</f>
        <v>Реєстрація місця проживання особи</v>
      </c>
      <c r="E1177" s="1" t="str">
        <f>"Реєстрація місця проживання"</f>
        <v>Реєстрація місця проживання</v>
      </c>
      <c r="F1177" s="1" t="str">
        <f>"Відділ реєстрації Новокаховської міської ради"</f>
        <v>Відділ реєстрації Новокаховської міської ради</v>
      </c>
      <c r="G1177" s="1" t="str">
        <f>"1"</f>
        <v>1</v>
      </c>
      <c r="H1177" s="1" t="str">
        <f>"Результат"</f>
        <v>Результат</v>
      </c>
      <c r="I1177" s="1" t="str">
        <f t="shared" si="206"/>
        <v>Позитивний</v>
      </c>
      <c r="J1177" s="1" t="str">
        <f>"Так"</f>
        <v>Так</v>
      </c>
    </row>
    <row r="1178" spans="1:10" ht="135" x14ac:dyDescent="0.25">
      <c r="A1178" s="1" t="str">
        <f>"1205-2020/27"</f>
        <v>1205-2020/27</v>
      </c>
      <c r="B1178" s="1" t="str">
        <f t="shared" si="204"/>
        <v>21.02.2020</v>
      </c>
      <c r="C1178" s="1" t="str">
        <f t="shared" si="205"/>
        <v>Закрито</v>
      </c>
      <c r="D117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78" s="1" t="str">
        <f>"Земельні питання"</f>
        <v>Земельні питання</v>
      </c>
      <c r="F11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78" s="1" t="str">
        <f>"14"</f>
        <v>14</v>
      </c>
      <c r="H1178" s="1" t="str">
        <f>"Результат"</f>
        <v>Результат</v>
      </c>
      <c r="I1178" s="1" t="str">
        <f t="shared" si="206"/>
        <v>Позитивний</v>
      </c>
      <c r="J1178" s="1" t="str">
        <f>"Ні"</f>
        <v>Ні</v>
      </c>
    </row>
    <row r="1179" spans="1:10" ht="135" x14ac:dyDescent="0.25">
      <c r="A1179" s="1" t="str">
        <f>"1207-2020/27"</f>
        <v>1207-2020/27</v>
      </c>
      <c r="B1179" s="1" t="str">
        <f t="shared" si="204"/>
        <v>21.02.2020</v>
      </c>
      <c r="C1179" s="1" t="str">
        <f t="shared" si="205"/>
        <v>Закрито</v>
      </c>
      <c r="D117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79" s="1" t="str">
        <f>"Земельні питання"</f>
        <v>Земельні питання</v>
      </c>
      <c r="F11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79" s="1" t="str">
        <f>"1"</f>
        <v>1</v>
      </c>
      <c r="H1179" s="1" t="str">
        <f>"Результат"</f>
        <v>Результат</v>
      </c>
      <c r="I1179" s="1" t="str">
        <f t="shared" si="206"/>
        <v>Позитивний</v>
      </c>
      <c r="J1179" s="1" t="str">
        <f>"Так"</f>
        <v>Так</v>
      </c>
    </row>
    <row r="1180" spans="1:10" ht="45" x14ac:dyDescent="0.25">
      <c r="A1180" s="1" t="str">
        <f>"1198-2020/27"</f>
        <v>1198-2020/27</v>
      </c>
      <c r="B1180" s="1" t="str">
        <f t="shared" si="204"/>
        <v>21.02.2020</v>
      </c>
      <c r="C1180" s="1" t="str">
        <f t="shared" si="205"/>
        <v>Закрито</v>
      </c>
      <c r="D1180" s="1" t="str">
        <f>"Зняття з реєстрації місця проживання"</f>
        <v>Зняття з реєстрації місця проживання</v>
      </c>
      <c r="E1180" s="1" t="str">
        <f>"Реєстрація місця проживання"</f>
        <v>Реєстрація місця проживання</v>
      </c>
      <c r="F1180" s="1" t="str">
        <f>"Відділ реєстрації Новокаховської міської ради"</f>
        <v>Відділ реєстрації Новокаховської міської ради</v>
      </c>
      <c r="G1180" s="1" t="str">
        <f>"1"</f>
        <v>1</v>
      </c>
      <c r="H1180" s="1" t="str">
        <f>"Результат"</f>
        <v>Результат</v>
      </c>
      <c r="I1180" s="1" t="str">
        <f t="shared" si="206"/>
        <v>Позитивний</v>
      </c>
      <c r="J1180" s="1" t="str">
        <f>"Так"</f>
        <v>Так</v>
      </c>
    </row>
    <row r="1181" spans="1:10" ht="135" x14ac:dyDescent="0.25">
      <c r="A1181" s="1" t="str">
        <f>"1204-2020/27"</f>
        <v>1204-2020/27</v>
      </c>
      <c r="B1181" s="1" t="str">
        <f t="shared" si="204"/>
        <v>21.02.2020</v>
      </c>
      <c r="C1181" s="1" t="str">
        <f t="shared" si="205"/>
        <v>Закрито</v>
      </c>
      <c r="D118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81" s="1" t="str">
        <f>"Земельні питання"</f>
        <v>Земельні питання</v>
      </c>
      <c r="F11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81" s="1" t="str">
        <f>"14"</f>
        <v>14</v>
      </c>
      <c r="H1181" s="1" t="str">
        <f>"Результат"</f>
        <v>Результат</v>
      </c>
      <c r="I1181" s="1" t="str">
        <f t="shared" si="206"/>
        <v>Позитивний</v>
      </c>
      <c r="J1181" s="1" t="str">
        <f>"Ні"</f>
        <v>Ні</v>
      </c>
    </row>
    <row r="1182" spans="1:10" ht="135" x14ac:dyDescent="0.25">
      <c r="A1182" s="1" t="str">
        <f>"1206-2020/27"</f>
        <v>1206-2020/27</v>
      </c>
      <c r="B1182" s="1" t="str">
        <f t="shared" si="204"/>
        <v>21.02.2020</v>
      </c>
      <c r="C1182" s="1" t="str">
        <f t="shared" si="205"/>
        <v>Закрито</v>
      </c>
      <c r="D118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182" s="1" t="str">
        <f>"Земельні питання"</f>
        <v>Земельні питання</v>
      </c>
      <c r="F11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82" s="1" t="str">
        <f>"14"</f>
        <v>14</v>
      </c>
      <c r="H1182" s="1" t="str">
        <f>"Результат"</f>
        <v>Результат</v>
      </c>
      <c r="I1182" s="1" t="str">
        <f t="shared" si="206"/>
        <v>Позитивний</v>
      </c>
      <c r="J1182" s="1" t="str">
        <f>"Ні"</f>
        <v>Ні</v>
      </c>
    </row>
    <row r="1183" spans="1:10" ht="135" x14ac:dyDescent="0.25">
      <c r="A1183" s="1" t="str">
        <f>"1208-2020/27"</f>
        <v>1208-2020/27</v>
      </c>
      <c r="B1183" s="1" t="str">
        <f t="shared" si="204"/>
        <v>21.02.2020</v>
      </c>
      <c r="C1183" s="1" t="str">
        <f t="shared" si="205"/>
        <v>Закрито</v>
      </c>
      <c r="D11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83" s="1" t="str">
        <f>"Земельні питання"</f>
        <v>Земельні питання</v>
      </c>
      <c r="F11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83" s="1" t="str">
        <f>"1"</f>
        <v>1</v>
      </c>
      <c r="H1183" s="1" t="str">
        <f>"Результат"</f>
        <v>Результат</v>
      </c>
      <c r="I1183" s="1" t="str">
        <f t="shared" si="206"/>
        <v>Позитивний</v>
      </c>
      <c r="J1183" s="1" t="str">
        <f>"Так"</f>
        <v>Так</v>
      </c>
    </row>
    <row r="1184" spans="1:10" ht="45" x14ac:dyDescent="0.25">
      <c r="A1184" s="1" t="str">
        <f>"1190-2020/27"</f>
        <v>1190-2020/27</v>
      </c>
      <c r="B1184" s="1" t="str">
        <f t="shared" si="204"/>
        <v>21.02.2020</v>
      </c>
      <c r="C1184" s="1" t="str">
        <f t="shared" si="205"/>
        <v>Закрито</v>
      </c>
      <c r="D1184" s="1" t="str">
        <f>"Реєстрація місця проживання особи"</f>
        <v>Реєстрація місця проживання особи</v>
      </c>
      <c r="E1184" s="1" t="str">
        <f>"Реєстрація місця проживання"</f>
        <v>Реєстрація місця проживання</v>
      </c>
      <c r="F1184" s="1" t="str">
        <f>"Відділ реєстрації Новокаховської міської ради"</f>
        <v>Відділ реєстрації Новокаховської міської ради</v>
      </c>
      <c r="G1184" s="1" t="str">
        <f>"1"</f>
        <v>1</v>
      </c>
      <c r="H1184" s="1" t="str">
        <f>"Результат"</f>
        <v>Результат</v>
      </c>
      <c r="I1184" s="1" t="str">
        <f t="shared" si="206"/>
        <v>Позитивний</v>
      </c>
      <c r="J1184" s="1" t="str">
        <f>"Так"</f>
        <v>Так</v>
      </c>
    </row>
    <row r="1185" spans="1:10" ht="135" x14ac:dyDescent="0.25">
      <c r="A1185" s="1" t="str">
        <f>"1209-2020/27"</f>
        <v>1209-2020/27</v>
      </c>
      <c r="B1185" s="1" t="str">
        <f t="shared" si="204"/>
        <v>21.02.2020</v>
      </c>
      <c r="C1185" s="1" t="str">
        <f t="shared" si="205"/>
        <v>Закрито</v>
      </c>
      <c r="D118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85" s="1" t="str">
        <f>"Земельні питання"</f>
        <v>Земельні питання</v>
      </c>
      <c r="F11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85" s="1" t="str">
        <f>"1"</f>
        <v>1</v>
      </c>
      <c r="H1185" s="1" t="str">
        <f>"Результат"</f>
        <v>Результат</v>
      </c>
      <c r="I1185" s="1" t="str">
        <f t="shared" si="206"/>
        <v>Позитивний</v>
      </c>
      <c r="J1185" s="1" t="str">
        <f>"Так"</f>
        <v>Так</v>
      </c>
    </row>
    <row r="1186" spans="1:10" ht="135" x14ac:dyDescent="0.25">
      <c r="A1186" s="1" t="str">
        <f>"1231-2020/27"</f>
        <v>1231-2020/27</v>
      </c>
      <c r="B1186" s="1" t="str">
        <f t="shared" ref="B1186:B1221" si="207">"24.02.2020"</f>
        <v>24.02.2020</v>
      </c>
      <c r="C1186" s="1" t="str">
        <f t="shared" si="205"/>
        <v>Закрито</v>
      </c>
      <c r="D118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86" s="1" t="str">
        <f>"Земельні питання"</f>
        <v>Земельні питання</v>
      </c>
      <c r="F118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86" s="1" t="str">
        <f>"3"</f>
        <v>3</v>
      </c>
      <c r="H1186" s="1" t="str">
        <f>"Результат"</f>
        <v>Результат</v>
      </c>
      <c r="I1186" s="1" t="str">
        <f t="shared" si="206"/>
        <v>Позитивний</v>
      </c>
      <c r="J1186" s="1" t="str">
        <f>"Ні"</f>
        <v>Ні</v>
      </c>
    </row>
    <row r="1187" spans="1:10" ht="135" x14ac:dyDescent="0.25">
      <c r="A1187" s="1" t="str">
        <f>"1244-2020/27"</f>
        <v>1244-2020/27</v>
      </c>
      <c r="B1187" s="1" t="str">
        <f t="shared" si="207"/>
        <v>24.02.2020</v>
      </c>
      <c r="C1187" s="1" t="str">
        <f t="shared" si="205"/>
        <v>Закрито</v>
      </c>
      <c r="D11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87" s="1" t="str">
        <f>"Земельні питання"</f>
        <v>Земельні питання</v>
      </c>
      <c r="F11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87" s="1" t="str">
        <f>"1"</f>
        <v>1</v>
      </c>
      <c r="H1187" s="1" t="str">
        <f>"Результат"</f>
        <v>Результат</v>
      </c>
      <c r="I1187" s="1" t="str">
        <f t="shared" si="206"/>
        <v>Позитивний</v>
      </c>
      <c r="J1187" s="1" t="str">
        <f>"Так"</f>
        <v>Так</v>
      </c>
    </row>
    <row r="1188" spans="1:10" ht="75" x14ac:dyDescent="0.25">
      <c r="A1188" s="1" t="str">
        <f>"1239-2020/27"</f>
        <v>1239-2020/27</v>
      </c>
      <c r="B1188" s="1" t="str">
        <f t="shared" si="207"/>
        <v>24.02.2020</v>
      </c>
      <c r="C1188" s="1" t="str">
        <f t="shared" si="205"/>
        <v>Закрито</v>
      </c>
      <c r="D1188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1188" s="1" t="str">
        <f>"Зовнішня реклама"</f>
        <v>Зовнішня реклама</v>
      </c>
      <c r="F1188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188" s="1" t="str">
        <f>"30"</f>
        <v>30</v>
      </c>
      <c r="H1188" s="1" t="str">
        <f>"Результат"</f>
        <v>Результат</v>
      </c>
      <c r="I1188" s="1" t="str">
        <f t="shared" si="206"/>
        <v>Позитивний</v>
      </c>
      <c r="J1188" s="1" t="str">
        <f>"Ні"</f>
        <v>Ні</v>
      </c>
    </row>
    <row r="1189" spans="1:10" ht="135" x14ac:dyDescent="0.25">
      <c r="A1189" s="1" t="str">
        <f>"1236-2020/27"</f>
        <v>1236-2020/27</v>
      </c>
      <c r="B1189" s="1" t="str">
        <f t="shared" si="207"/>
        <v>24.02.2020</v>
      </c>
      <c r="C1189" s="1" t="str">
        <f t="shared" si="205"/>
        <v>Закрито</v>
      </c>
      <c r="D11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89" s="1" t="str">
        <f>"Земельні питання"</f>
        <v>Земельні питання</v>
      </c>
      <c r="F11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89" s="1" t="str">
        <f>"1"</f>
        <v>1</v>
      </c>
      <c r="H1189" s="1" t="str">
        <f>"Результат"</f>
        <v>Результат</v>
      </c>
      <c r="I1189" s="1" t="str">
        <f t="shared" si="206"/>
        <v>Позитивний</v>
      </c>
      <c r="J1189" s="1" t="str">
        <f>"Так"</f>
        <v>Так</v>
      </c>
    </row>
    <row r="1190" spans="1:10" ht="135" x14ac:dyDescent="0.25">
      <c r="A1190" s="1" t="str">
        <f>"1217-2020/27"</f>
        <v>1217-2020/27</v>
      </c>
      <c r="B1190" s="1" t="str">
        <f t="shared" si="207"/>
        <v>24.02.2020</v>
      </c>
      <c r="C1190" s="1" t="str">
        <f t="shared" si="205"/>
        <v>Закрито</v>
      </c>
      <c r="D119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190" s="1" t="str">
        <f>"Земельні питання"</f>
        <v>Земельні питання</v>
      </c>
      <c r="F11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90" s="1" t="str">
        <f>"14"</f>
        <v>14</v>
      </c>
      <c r="H1190" s="1" t="str">
        <f>"Результат"</f>
        <v>Результат</v>
      </c>
      <c r="I1190" s="1" t="str">
        <f t="shared" si="206"/>
        <v>Позитивний</v>
      </c>
      <c r="J1190" s="1" t="str">
        <f>"Ні"</f>
        <v>Ні</v>
      </c>
    </row>
    <row r="1191" spans="1:10" ht="75" x14ac:dyDescent="0.25">
      <c r="A1191" s="1" t="str">
        <f>"1241-2020/27"</f>
        <v>1241-2020/27</v>
      </c>
      <c r="B1191" s="1" t="str">
        <f t="shared" si="207"/>
        <v>24.02.2020</v>
      </c>
      <c r="C1191" s="1" t="str">
        <f t="shared" si="205"/>
        <v>Закрито</v>
      </c>
      <c r="D1191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1191" s="1" t="str">
        <f>"Зовнішня реклама"</f>
        <v>Зовнішня реклама</v>
      </c>
      <c r="F1191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191" s="1" t="str">
        <f>"30"</f>
        <v>30</v>
      </c>
      <c r="H1191" s="1" t="str">
        <f>"Результат"</f>
        <v>Результат</v>
      </c>
      <c r="I1191" s="1" t="str">
        <f t="shared" si="206"/>
        <v>Позитивний</v>
      </c>
      <c r="J1191" s="1" t="str">
        <f>"Ні"</f>
        <v>Ні</v>
      </c>
    </row>
    <row r="1192" spans="1:10" ht="45" x14ac:dyDescent="0.25">
      <c r="A1192" s="1" t="str">
        <f>"1235-2020/27"</f>
        <v>1235-2020/27</v>
      </c>
      <c r="B1192" s="1" t="str">
        <f t="shared" si="207"/>
        <v>24.02.2020</v>
      </c>
      <c r="C1192" s="1" t="str">
        <f t="shared" si="205"/>
        <v>Закрито</v>
      </c>
      <c r="D1192" s="1" t="str">
        <f>"Реєстрація місця проживання особи"</f>
        <v>Реєстрація місця проживання особи</v>
      </c>
      <c r="E1192" s="1" t="str">
        <f>"Реєстрація місця проживання"</f>
        <v>Реєстрація місця проживання</v>
      </c>
      <c r="F1192" s="1" t="str">
        <f>"Відділ реєстрації Новокаховської міської ради"</f>
        <v>Відділ реєстрації Новокаховської міської ради</v>
      </c>
      <c r="G1192" s="1" t="str">
        <f>"1"</f>
        <v>1</v>
      </c>
      <c r="H1192" s="1" t="str">
        <f>"Результат"</f>
        <v>Результат</v>
      </c>
      <c r="I1192" s="1" t="str">
        <f t="shared" si="206"/>
        <v>Позитивний</v>
      </c>
      <c r="J1192" s="1" t="str">
        <f>"Так"</f>
        <v>Так</v>
      </c>
    </row>
    <row r="1193" spans="1:10" ht="135" x14ac:dyDescent="0.25">
      <c r="A1193" s="1" t="str">
        <f>"1229-2020/27"</f>
        <v>1229-2020/27</v>
      </c>
      <c r="B1193" s="1" t="str">
        <f t="shared" si="207"/>
        <v>24.02.2020</v>
      </c>
      <c r="C1193" s="1" t="str">
        <f t="shared" si="205"/>
        <v>Закрито</v>
      </c>
      <c r="D11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193" s="1" t="str">
        <f>"Земельні питання"</f>
        <v>Земельні питання</v>
      </c>
      <c r="F11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93" s="1" t="str">
        <f>"3"</f>
        <v>3</v>
      </c>
      <c r="H1193" s="1" t="str">
        <f>"Результат"</f>
        <v>Результат</v>
      </c>
      <c r="I1193" s="1" t="str">
        <f t="shared" si="206"/>
        <v>Позитивний</v>
      </c>
      <c r="J1193" s="1" t="str">
        <f>"Ні"</f>
        <v>Ні</v>
      </c>
    </row>
    <row r="1194" spans="1:10" ht="135" x14ac:dyDescent="0.25">
      <c r="A1194" s="1" t="str">
        <f>"1213-2020/27"</f>
        <v>1213-2020/27</v>
      </c>
      <c r="B1194" s="1" t="str">
        <f t="shared" si="207"/>
        <v>24.02.2020</v>
      </c>
      <c r="C1194" s="1" t="str">
        <f t="shared" si="205"/>
        <v>Закрито</v>
      </c>
      <c r="D119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194" s="1" t="str">
        <f>"Земельні питання"</f>
        <v>Земельні питання</v>
      </c>
      <c r="F11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94" s="1" t="str">
        <f>"14"</f>
        <v>14</v>
      </c>
      <c r="H1194" s="1" t="str">
        <f>"Результат"</f>
        <v>Результат</v>
      </c>
      <c r="I1194" s="1" t="str">
        <f t="shared" si="206"/>
        <v>Позитивний</v>
      </c>
      <c r="J1194" s="1" t="str">
        <f>"Ні"</f>
        <v>Ні</v>
      </c>
    </row>
    <row r="1195" spans="1:10" ht="195" x14ac:dyDescent="0.25">
      <c r="A1195" s="1" t="str">
        <f>"1238-2020/27"</f>
        <v>1238-2020/27</v>
      </c>
      <c r="B1195" s="1" t="str">
        <f t="shared" si="207"/>
        <v>24.02.2020</v>
      </c>
      <c r="C1195" s="1" t="str">
        <f>"На обробці в адмін. органі"</f>
        <v>На обробці в адмін. органі</v>
      </c>
      <c r="D1195" s="1" t="s">
        <v>13</v>
      </c>
      <c r="E1195" s="1" t="str">
        <f>"Державна реєстрація громадських об’єднань"</f>
        <v>Державна реєстрація громадських об’єднань</v>
      </c>
      <c r="F1195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195" s="1" t="str">
        <f>"15"</f>
        <v>15</v>
      </c>
      <c r="H1195" s="1" t="str">
        <f>""</f>
        <v/>
      </c>
      <c r="I1195" s="1" t="str">
        <f>""</f>
        <v/>
      </c>
      <c r="J1195" s="1" t="str">
        <f>"Ні"</f>
        <v>Ні</v>
      </c>
    </row>
    <row r="1196" spans="1:10" ht="45" x14ac:dyDescent="0.25">
      <c r="A1196" s="1" t="str">
        <f>"1230-2020/27"</f>
        <v>1230-2020/27</v>
      </c>
      <c r="B1196" s="1" t="str">
        <f t="shared" si="207"/>
        <v>24.02.2020</v>
      </c>
      <c r="C1196" s="1" t="str">
        <f t="shared" ref="C1196:C1212" si="208">"Закрито"</f>
        <v>Закрито</v>
      </c>
      <c r="D1196" s="1" t="str">
        <f>"Зняття з реєстрації місця проживання"</f>
        <v>Зняття з реєстрації місця проживання</v>
      </c>
      <c r="E1196" s="1" t="str">
        <f>"Реєстрація місця проживання"</f>
        <v>Реєстрація місця проживання</v>
      </c>
      <c r="F1196" s="1" t="str">
        <f>"Відділ реєстрації Новокаховської міської ради"</f>
        <v>Відділ реєстрації Новокаховської міської ради</v>
      </c>
      <c r="G1196" s="1" t="str">
        <f>"1"</f>
        <v>1</v>
      </c>
      <c r="H1196" s="1" t="str">
        <f>"Результат"</f>
        <v>Результат</v>
      </c>
      <c r="I1196" s="1" t="str">
        <f t="shared" ref="I1196:I1212" si="209">"Позитивний"</f>
        <v>Позитивний</v>
      </c>
      <c r="J1196" s="1" t="str">
        <f>"Так"</f>
        <v>Так</v>
      </c>
    </row>
    <row r="1197" spans="1:10" ht="135" x14ac:dyDescent="0.25">
      <c r="A1197" s="1" t="str">
        <f>"1220-2020/27"</f>
        <v>1220-2020/27</v>
      </c>
      <c r="B1197" s="1" t="str">
        <f t="shared" si="207"/>
        <v>24.02.2020</v>
      </c>
      <c r="C1197" s="1" t="str">
        <f t="shared" si="208"/>
        <v>Закрито</v>
      </c>
      <c r="D119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197" s="1" t="str">
        <f>"Земельні питання"</f>
        <v>Земельні питання</v>
      </c>
      <c r="F11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97" s="1" t="str">
        <f>"14"</f>
        <v>14</v>
      </c>
      <c r="H1197" s="1" t="str">
        <f>"Результат"</f>
        <v>Результат</v>
      </c>
      <c r="I1197" s="1" t="str">
        <f t="shared" si="209"/>
        <v>Позитивний</v>
      </c>
      <c r="J1197" s="1" t="str">
        <f>"Ні"</f>
        <v>Ні</v>
      </c>
    </row>
    <row r="1198" spans="1:10" ht="105" x14ac:dyDescent="0.25">
      <c r="A1198" s="1" t="str">
        <f>"1221-2020/27"</f>
        <v>1221-2020/27</v>
      </c>
      <c r="B1198" s="1" t="str">
        <f t="shared" si="207"/>
        <v>24.02.2020</v>
      </c>
      <c r="C1198" s="1" t="str">
        <f t="shared" si="208"/>
        <v>Закрито</v>
      </c>
      <c r="D119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198" s="1" t="str">
        <f>"Земельні питання"</f>
        <v>Земельні питання</v>
      </c>
      <c r="F119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198" s="1" t="str">
        <f>"1"</f>
        <v>1</v>
      </c>
      <c r="H1198" s="1" t="str">
        <f>"Результат"</f>
        <v>Результат</v>
      </c>
      <c r="I1198" s="1" t="str">
        <f t="shared" si="209"/>
        <v>Позитивний</v>
      </c>
      <c r="J1198" s="1" t="str">
        <f>"Ні"</f>
        <v>Ні</v>
      </c>
    </row>
    <row r="1199" spans="1:10" ht="135" x14ac:dyDescent="0.25">
      <c r="A1199" s="1" t="str">
        <f>"1214-2020/27"</f>
        <v>1214-2020/27</v>
      </c>
      <c r="B1199" s="1" t="str">
        <f t="shared" si="207"/>
        <v>24.02.2020</v>
      </c>
      <c r="C1199" s="1" t="str">
        <f t="shared" si="208"/>
        <v>Закрито</v>
      </c>
      <c r="D119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199" s="1" t="str">
        <f>"Земельні питання"</f>
        <v>Земельні питання</v>
      </c>
      <c r="F11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199" s="1" t="str">
        <f>"14"</f>
        <v>14</v>
      </c>
      <c r="H1199" s="1" t="str">
        <f>"Результат"</f>
        <v>Результат</v>
      </c>
      <c r="I1199" s="1" t="str">
        <f t="shared" si="209"/>
        <v>Позитивний</v>
      </c>
      <c r="J1199" s="1" t="str">
        <f>"Ні"</f>
        <v>Ні</v>
      </c>
    </row>
    <row r="1200" spans="1:10" ht="45" x14ac:dyDescent="0.25">
      <c r="A1200" s="1" t="str">
        <f>"1228-2020/27"</f>
        <v>1228-2020/27</v>
      </c>
      <c r="B1200" s="1" t="str">
        <f t="shared" si="207"/>
        <v>24.02.2020</v>
      </c>
      <c r="C1200" s="1" t="str">
        <f t="shared" si="208"/>
        <v>Закрито</v>
      </c>
      <c r="D1200" s="1" t="str">
        <f>"Зняття з реєстрації місця проживання"</f>
        <v>Зняття з реєстрації місця проживання</v>
      </c>
      <c r="E1200" s="1" t="str">
        <f>"Реєстрація місця проживання"</f>
        <v>Реєстрація місця проживання</v>
      </c>
      <c r="F1200" s="1" t="str">
        <f>"Відділ реєстрації Новокаховської міської ради"</f>
        <v>Відділ реєстрації Новокаховської міської ради</v>
      </c>
      <c r="G1200" s="1" t="str">
        <f>"1"</f>
        <v>1</v>
      </c>
      <c r="H1200" s="1" t="str">
        <f>"Результат"</f>
        <v>Результат</v>
      </c>
      <c r="I1200" s="1" t="str">
        <f t="shared" si="209"/>
        <v>Позитивний</v>
      </c>
      <c r="J1200" s="1" t="str">
        <f>"Так"</f>
        <v>Так</v>
      </c>
    </row>
    <row r="1201" spans="1:10" ht="135" x14ac:dyDescent="0.25">
      <c r="A1201" s="1" t="str">
        <f>"1218-2020/27"</f>
        <v>1218-2020/27</v>
      </c>
      <c r="B1201" s="1" t="str">
        <f t="shared" si="207"/>
        <v>24.02.2020</v>
      </c>
      <c r="C1201" s="1" t="str">
        <f t="shared" si="208"/>
        <v>Закрито</v>
      </c>
      <c r="D1201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01" s="1" t="str">
        <f t="shared" ref="E1201:E1209" si="210">"Земельні питання"</f>
        <v>Земельні питання</v>
      </c>
      <c r="F1201" s="1" t="str">
        <f t="shared" ref="F1201:F1209" si="211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1" s="1" t="str">
        <f>"14"</f>
        <v>14</v>
      </c>
      <c r="H1201" s="1" t="str">
        <f>"Результат"</f>
        <v>Результат</v>
      </c>
      <c r="I1201" s="1" t="str">
        <f t="shared" si="209"/>
        <v>Позитивний</v>
      </c>
      <c r="J1201" s="1" t="str">
        <f>"Ні"</f>
        <v>Ні</v>
      </c>
    </row>
    <row r="1202" spans="1:10" ht="135" x14ac:dyDescent="0.25">
      <c r="A1202" s="1" t="str">
        <f>"1222-2020/27"</f>
        <v>1222-2020/27</v>
      </c>
      <c r="B1202" s="1" t="str">
        <f t="shared" si="207"/>
        <v>24.02.2020</v>
      </c>
      <c r="C1202" s="1" t="str">
        <f t="shared" si="208"/>
        <v>Закрито</v>
      </c>
      <c r="D120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02" s="1" t="str">
        <f t="shared" si="210"/>
        <v>Земельні питання</v>
      </c>
      <c r="F1202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2" s="1" t="str">
        <f>"14"</f>
        <v>14</v>
      </c>
      <c r="H1202" s="1" t="str">
        <f>"Результат"</f>
        <v>Результат</v>
      </c>
      <c r="I1202" s="1" t="str">
        <f t="shared" si="209"/>
        <v>Позитивний</v>
      </c>
      <c r="J1202" s="1" t="str">
        <f>"Ні"</f>
        <v>Ні</v>
      </c>
    </row>
    <row r="1203" spans="1:10" ht="135" x14ac:dyDescent="0.25">
      <c r="A1203" s="1" t="str">
        <f>"1245-2020/27"</f>
        <v>1245-2020/27</v>
      </c>
      <c r="B1203" s="1" t="str">
        <f t="shared" si="207"/>
        <v>24.02.2020</v>
      </c>
      <c r="C1203" s="1" t="str">
        <f t="shared" si="208"/>
        <v>Закрито</v>
      </c>
      <c r="D120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03" s="1" t="str">
        <f t="shared" si="210"/>
        <v>Земельні питання</v>
      </c>
      <c r="F1203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3" s="1" t="str">
        <f>"1"</f>
        <v>1</v>
      </c>
      <c r="H1203" s="1" t="str">
        <f>"Результат"</f>
        <v>Результат</v>
      </c>
      <c r="I1203" s="1" t="str">
        <f t="shared" si="209"/>
        <v>Позитивний</v>
      </c>
      <c r="J1203" s="1" t="str">
        <f>"Так"</f>
        <v>Так</v>
      </c>
    </row>
    <row r="1204" spans="1:10" ht="135" x14ac:dyDescent="0.25">
      <c r="A1204" s="1" t="str">
        <f>"1211-2020/27"</f>
        <v>1211-2020/27</v>
      </c>
      <c r="B1204" s="1" t="str">
        <f t="shared" si="207"/>
        <v>24.02.2020</v>
      </c>
      <c r="C1204" s="1" t="str">
        <f t="shared" si="208"/>
        <v>Закрито</v>
      </c>
      <c r="D120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04" s="1" t="str">
        <f t="shared" si="210"/>
        <v>Земельні питання</v>
      </c>
      <c r="F1204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4" s="1" t="str">
        <f>"14"</f>
        <v>14</v>
      </c>
      <c r="H1204" s="1" t="str">
        <f>"Результат"</f>
        <v>Результат</v>
      </c>
      <c r="I1204" s="1" t="str">
        <f t="shared" si="209"/>
        <v>Позитивний</v>
      </c>
      <c r="J1204" s="1" t="str">
        <f t="shared" ref="J1204:J1214" si="212">"Ні"</f>
        <v>Ні</v>
      </c>
    </row>
    <row r="1205" spans="1:10" ht="135" x14ac:dyDescent="0.25">
      <c r="A1205" s="1" t="str">
        <f>"1223-2020/27"</f>
        <v>1223-2020/27</v>
      </c>
      <c r="B1205" s="1" t="str">
        <f t="shared" si="207"/>
        <v>24.02.2020</v>
      </c>
      <c r="C1205" s="1" t="str">
        <f t="shared" si="208"/>
        <v>Закрито</v>
      </c>
      <c r="D120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05" s="1" t="str">
        <f t="shared" si="210"/>
        <v>Земельні питання</v>
      </c>
      <c r="F1205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5" s="1" t="str">
        <f>"14"</f>
        <v>14</v>
      </c>
      <c r="H1205" s="1" t="str">
        <f>"Результат"</f>
        <v>Результат</v>
      </c>
      <c r="I1205" s="1" t="str">
        <f t="shared" si="209"/>
        <v>Позитивний</v>
      </c>
      <c r="J1205" s="1" t="str">
        <f t="shared" si="212"/>
        <v>Ні</v>
      </c>
    </row>
    <row r="1206" spans="1:10" ht="135" x14ac:dyDescent="0.25">
      <c r="A1206" s="1" t="str">
        <f>"1219-2020/27"</f>
        <v>1219-2020/27</v>
      </c>
      <c r="B1206" s="1" t="str">
        <f t="shared" si="207"/>
        <v>24.02.2020</v>
      </c>
      <c r="C1206" s="1" t="str">
        <f t="shared" si="208"/>
        <v>Закрито</v>
      </c>
      <c r="D120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06" s="1" t="str">
        <f t="shared" si="210"/>
        <v>Земельні питання</v>
      </c>
      <c r="F1206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6" s="1" t="str">
        <f>"14"</f>
        <v>14</v>
      </c>
      <c r="H1206" s="1" t="str">
        <f>"Результат"</f>
        <v>Результат</v>
      </c>
      <c r="I1206" s="1" t="str">
        <f t="shared" si="209"/>
        <v>Позитивний</v>
      </c>
      <c r="J1206" s="1" t="str">
        <f t="shared" si="212"/>
        <v>Ні</v>
      </c>
    </row>
    <row r="1207" spans="1:10" ht="135" x14ac:dyDescent="0.25">
      <c r="A1207" s="1" t="str">
        <f>"1216-2020/27"</f>
        <v>1216-2020/27</v>
      </c>
      <c r="B1207" s="1" t="str">
        <f t="shared" si="207"/>
        <v>24.02.2020</v>
      </c>
      <c r="C1207" s="1" t="str">
        <f t="shared" si="208"/>
        <v>Закрито</v>
      </c>
      <c r="D120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07" s="1" t="str">
        <f t="shared" si="210"/>
        <v>Земельні питання</v>
      </c>
      <c r="F1207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7" s="1" t="str">
        <f>"14"</f>
        <v>14</v>
      </c>
      <c r="H1207" s="1" t="str">
        <f>"Результат"</f>
        <v>Результат</v>
      </c>
      <c r="I1207" s="1" t="str">
        <f t="shared" si="209"/>
        <v>Позитивний</v>
      </c>
      <c r="J1207" s="1" t="str">
        <f t="shared" si="212"/>
        <v>Ні</v>
      </c>
    </row>
    <row r="1208" spans="1:10" ht="135" x14ac:dyDescent="0.25">
      <c r="A1208" s="1" t="str">
        <f>"1234-2020/27"</f>
        <v>1234-2020/27</v>
      </c>
      <c r="B1208" s="1" t="str">
        <f t="shared" si="207"/>
        <v>24.02.2020</v>
      </c>
      <c r="C1208" s="1" t="str">
        <f t="shared" si="208"/>
        <v>Закрито</v>
      </c>
      <c r="D120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208" s="1" t="str">
        <f t="shared" si="210"/>
        <v>Земельні питання</v>
      </c>
      <c r="F1208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8" s="1" t="str">
        <f>"14"</f>
        <v>14</v>
      </c>
      <c r="H1208" s="1" t="str">
        <f>"Результат"</f>
        <v>Результат</v>
      </c>
      <c r="I1208" s="1" t="str">
        <f t="shared" si="209"/>
        <v>Позитивний</v>
      </c>
      <c r="J1208" s="1" t="str">
        <f t="shared" si="212"/>
        <v>Ні</v>
      </c>
    </row>
    <row r="1209" spans="1:10" ht="135" x14ac:dyDescent="0.25">
      <c r="A1209" s="1" t="str">
        <f>"1237-2020/27"</f>
        <v>1237-2020/27</v>
      </c>
      <c r="B1209" s="1" t="str">
        <f t="shared" si="207"/>
        <v>24.02.2020</v>
      </c>
      <c r="C1209" s="1" t="str">
        <f t="shared" si="208"/>
        <v>Закрито</v>
      </c>
      <c r="D120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09" s="1" t="str">
        <f t="shared" si="210"/>
        <v>Земельні питання</v>
      </c>
      <c r="F1209" s="1" t="str">
        <f t="shared" si="21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09" s="1" t="str">
        <f>"3"</f>
        <v>3</v>
      </c>
      <c r="H1209" s="1" t="str">
        <f>"Результат"</f>
        <v>Результат</v>
      </c>
      <c r="I1209" s="1" t="str">
        <f t="shared" si="209"/>
        <v>Позитивний</v>
      </c>
      <c r="J1209" s="1" t="str">
        <f t="shared" si="212"/>
        <v>Ні</v>
      </c>
    </row>
    <row r="1210" spans="1:10" ht="75" x14ac:dyDescent="0.25">
      <c r="A1210" s="1" t="str">
        <f>"1240-2020/27"</f>
        <v>1240-2020/27</v>
      </c>
      <c r="B1210" s="1" t="str">
        <f t="shared" si="207"/>
        <v>24.02.2020</v>
      </c>
      <c r="C1210" s="1" t="str">
        <f t="shared" si="208"/>
        <v>Закрито</v>
      </c>
      <c r="D1210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1210" s="1" t="str">
        <f>"Зовнішня реклама"</f>
        <v>Зовнішня реклама</v>
      </c>
      <c r="F1210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210" s="1" t="str">
        <f>"30"</f>
        <v>30</v>
      </c>
      <c r="H1210" s="1" t="str">
        <f>"Результат"</f>
        <v>Результат</v>
      </c>
      <c r="I1210" s="1" t="str">
        <f t="shared" si="209"/>
        <v>Позитивний</v>
      </c>
      <c r="J1210" s="1" t="str">
        <f t="shared" si="212"/>
        <v>Ні</v>
      </c>
    </row>
    <row r="1211" spans="1:10" ht="135" x14ac:dyDescent="0.25">
      <c r="A1211" s="1" t="str">
        <f>"1227-2020/27"</f>
        <v>1227-2020/27</v>
      </c>
      <c r="B1211" s="1" t="str">
        <f t="shared" si="207"/>
        <v>24.02.2020</v>
      </c>
      <c r="C1211" s="1" t="str">
        <f t="shared" si="208"/>
        <v>Закрито</v>
      </c>
      <c r="D12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11" s="1" t="str">
        <f>"Земельні питання"</f>
        <v>Земельні питання</v>
      </c>
      <c r="F12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11" s="1" t="str">
        <f>"3"</f>
        <v>3</v>
      </c>
      <c r="H1211" s="1" t="str">
        <f>"Результат"</f>
        <v>Результат</v>
      </c>
      <c r="I1211" s="1" t="str">
        <f t="shared" si="209"/>
        <v>Позитивний</v>
      </c>
      <c r="J1211" s="1" t="str">
        <f t="shared" si="212"/>
        <v>Ні</v>
      </c>
    </row>
    <row r="1212" spans="1:10" ht="75" x14ac:dyDescent="0.25">
      <c r="A1212" s="1" t="str">
        <f>"1242-2020/27"</f>
        <v>1242-2020/27</v>
      </c>
      <c r="B1212" s="1" t="str">
        <f t="shared" si="207"/>
        <v>24.02.2020</v>
      </c>
      <c r="C1212" s="1" t="str">
        <f t="shared" si="208"/>
        <v>Закрито</v>
      </c>
      <c r="D1212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1212" s="1" t="str">
        <f>"Зовнішня реклама"</f>
        <v>Зовнішня реклама</v>
      </c>
      <c r="F1212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212" s="1" t="str">
        <f>"30"</f>
        <v>30</v>
      </c>
      <c r="H1212" s="1" t="str">
        <f>"Результат"</f>
        <v>Результат</v>
      </c>
      <c r="I1212" s="1" t="str">
        <f t="shared" si="209"/>
        <v>Позитивний</v>
      </c>
      <c r="J1212" s="1" t="str">
        <f t="shared" si="212"/>
        <v>Ні</v>
      </c>
    </row>
    <row r="1213" spans="1:10" ht="195" x14ac:dyDescent="0.25">
      <c r="A1213" s="1" t="str">
        <f>"1225-2020/27"</f>
        <v>1225-2020/27</v>
      </c>
      <c r="B1213" s="1" t="str">
        <f t="shared" si="207"/>
        <v>24.02.2020</v>
      </c>
      <c r="C1213" s="1" t="str">
        <f>"На обробці в адмін. органі"</f>
        <v>На обробці в адмін. органі</v>
      </c>
      <c r="D1213" s="1" t="s">
        <v>13</v>
      </c>
      <c r="E1213" s="1" t="str">
        <f>"Державна реєстрація громадських об’єднань"</f>
        <v>Державна реєстрація громадських об’єднань</v>
      </c>
      <c r="F1213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213" s="1" t="str">
        <f>"15"</f>
        <v>15</v>
      </c>
      <c r="H1213" s="1" t="str">
        <f>""</f>
        <v/>
      </c>
      <c r="I1213" s="1" t="str">
        <f>""</f>
        <v/>
      </c>
      <c r="J1213" s="1" t="str">
        <f t="shared" si="212"/>
        <v>Ні</v>
      </c>
    </row>
    <row r="1214" spans="1:10" ht="135" x14ac:dyDescent="0.25">
      <c r="A1214" s="1" t="str">
        <f>"1215-2020/27"</f>
        <v>1215-2020/27</v>
      </c>
      <c r="B1214" s="1" t="str">
        <f t="shared" si="207"/>
        <v>24.02.2020</v>
      </c>
      <c r="C1214" s="1" t="str">
        <f>"Закрито"</f>
        <v>Закрито</v>
      </c>
      <c r="D121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14" s="1" t="str">
        <f>"Земельні питання"</f>
        <v>Земельні питання</v>
      </c>
      <c r="F12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14" s="1" t="str">
        <f>"14"</f>
        <v>14</v>
      </c>
      <c r="H1214" s="1" t="str">
        <f>"Результат"</f>
        <v>Результат</v>
      </c>
      <c r="I1214" s="1" t="str">
        <f>"Позитивний"</f>
        <v>Позитивний</v>
      </c>
      <c r="J1214" s="1" t="str">
        <f t="shared" si="212"/>
        <v>Ні</v>
      </c>
    </row>
    <row r="1215" spans="1:10" ht="135" x14ac:dyDescent="0.25">
      <c r="A1215" s="1" t="str">
        <f>"1233-2020/27"</f>
        <v>1233-2020/27</v>
      </c>
      <c r="B1215" s="1" t="str">
        <f t="shared" si="207"/>
        <v>24.02.2020</v>
      </c>
      <c r="C1215" s="1" t="str">
        <f>"Закрито"</f>
        <v>Закрито</v>
      </c>
      <c r="D12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15" s="1" t="str">
        <f>"Земельні питання"</f>
        <v>Земельні питання</v>
      </c>
      <c r="F12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15" s="1" t="str">
        <f>"1"</f>
        <v>1</v>
      </c>
      <c r="H1215" s="1" t="str">
        <f>"Результат"</f>
        <v>Результат</v>
      </c>
      <c r="I1215" s="1" t="str">
        <f>"Позитивний"</f>
        <v>Позитивний</v>
      </c>
      <c r="J1215" s="1" t="str">
        <f>"Так"</f>
        <v>Так</v>
      </c>
    </row>
    <row r="1216" spans="1:10" ht="150" x14ac:dyDescent="0.25">
      <c r="A1216" s="1" t="str">
        <f>"1226-2020/27"</f>
        <v>1226-2020/27</v>
      </c>
      <c r="B1216" s="1" t="str">
        <f t="shared" si="207"/>
        <v>24.02.2020</v>
      </c>
      <c r="C1216" s="1" t="str">
        <f>"На обробці в адмін. органі"</f>
        <v>На обробці в адмін. органі</v>
      </c>
      <c r="D1216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1216" s="1" t="str">
        <f>"Будівництво"</f>
        <v>Будівництво</v>
      </c>
      <c r="F121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16" s="1" t="str">
        <f>"10"</f>
        <v>10</v>
      </c>
      <c r="H1216" s="1" t="str">
        <f>""</f>
        <v/>
      </c>
      <c r="I1216" s="1" t="str">
        <f>""</f>
        <v/>
      </c>
      <c r="J1216" s="1" t="str">
        <f>"Ні"</f>
        <v>Ні</v>
      </c>
    </row>
    <row r="1217" spans="1:10" ht="135" x14ac:dyDescent="0.25">
      <c r="A1217" s="1" t="str">
        <f>"1212-2020/27"</f>
        <v>1212-2020/27</v>
      </c>
      <c r="B1217" s="1" t="str">
        <f t="shared" si="207"/>
        <v>24.02.2020</v>
      </c>
      <c r="C1217" s="1" t="str">
        <f t="shared" ref="C1217:C1231" si="213">"Закрито"</f>
        <v>Закрито</v>
      </c>
      <c r="D121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17" s="1" t="str">
        <f>"Земельні питання"</f>
        <v>Земельні питання</v>
      </c>
      <c r="F12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17" s="1" t="str">
        <f>"14"</f>
        <v>14</v>
      </c>
      <c r="H1217" s="1" t="str">
        <f>"Результат"</f>
        <v>Результат</v>
      </c>
      <c r="I1217" s="1" t="str">
        <f>"Позитивний"</f>
        <v>Позитивний</v>
      </c>
      <c r="J1217" s="1" t="str">
        <f>"Ні"</f>
        <v>Ні</v>
      </c>
    </row>
    <row r="1218" spans="1:10" ht="135" x14ac:dyDescent="0.25">
      <c r="A1218" s="1" t="str">
        <f>"1243-2020/27"</f>
        <v>1243-2020/27</v>
      </c>
      <c r="B1218" s="1" t="str">
        <f t="shared" si="207"/>
        <v>24.02.2020</v>
      </c>
      <c r="C1218" s="1" t="str">
        <f t="shared" si="213"/>
        <v>Закрито</v>
      </c>
      <c r="D121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18" s="1" t="str">
        <f>"Земельні питання"</f>
        <v>Земельні питання</v>
      </c>
      <c r="F12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18" s="1" t="str">
        <f>"1"</f>
        <v>1</v>
      </c>
      <c r="H1218" s="1" t="str">
        <f>"Результат"</f>
        <v>Результат</v>
      </c>
      <c r="I1218" s="1" t="str">
        <f>"Позитивний"</f>
        <v>Позитивний</v>
      </c>
      <c r="J1218" s="1" t="str">
        <f>"Так"</f>
        <v>Так</v>
      </c>
    </row>
    <row r="1219" spans="1:10" ht="45" x14ac:dyDescent="0.25">
      <c r="A1219" s="1" t="str">
        <f>"1224-2020/27"</f>
        <v>1224-2020/27</v>
      </c>
      <c r="B1219" s="1" t="str">
        <f t="shared" si="207"/>
        <v>24.02.2020</v>
      </c>
      <c r="C1219" s="1" t="str">
        <f t="shared" si="213"/>
        <v>Закрито</v>
      </c>
      <c r="D1219" s="1" t="str">
        <f>"Реєстрація місця проживання особи"</f>
        <v>Реєстрація місця проживання особи</v>
      </c>
      <c r="E1219" s="1" t="str">
        <f>"Реєстрація місця проживання"</f>
        <v>Реєстрація місця проживання</v>
      </c>
      <c r="F1219" s="1" t="str">
        <f>"Відділ реєстрації Новокаховської міської ради"</f>
        <v>Відділ реєстрації Новокаховської міської ради</v>
      </c>
      <c r="G1219" s="1" t="str">
        <f>"1"</f>
        <v>1</v>
      </c>
      <c r="H1219" s="1" t="str">
        <f>"Результат"</f>
        <v>Результат</v>
      </c>
      <c r="I1219" s="1" t="str">
        <f>"Позитивний"</f>
        <v>Позитивний</v>
      </c>
      <c r="J1219" s="1" t="str">
        <f>"Так"</f>
        <v>Так</v>
      </c>
    </row>
    <row r="1220" spans="1:10" ht="135" x14ac:dyDescent="0.25">
      <c r="A1220" s="1" t="str">
        <f>"1246-2020/27"</f>
        <v>1246-2020/27</v>
      </c>
      <c r="B1220" s="1" t="str">
        <f t="shared" si="207"/>
        <v>24.02.2020</v>
      </c>
      <c r="C1220" s="1" t="str">
        <f t="shared" si="213"/>
        <v>Закрито</v>
      </c>
      <c r="D122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20" s="1" t="str">
        <f>"Земельні питання"</f>
        <v>Земельні питання</v>
      </c>
      <c r="F12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20" s="1" t="str">
        <f>"1"</f>
        <v>1</v>
      </c>
      <c r="H1220" s="1" t="str">
        <f>"Результат"</f>
        <v>Результат</v>
      </c>
      <c r="I1220" s="1" t="str">
        <f>"Позитивний"</f>
        <v>Позитивний</v>
      </c>
      <c r="J1220" s="1" t="str">
        <f>"Так"</f>
        <v>Так</v>
      </c>
    </row>
    <row r="1221" spans="1:10" ht="135" x14ac:dyDescent="0.25">
      <c r="A1221" s="1" t="str">
        <f>"1232-2020/27"</f>
        <v>1232-2020/27</v>
      </c>
      <c r="B1221" s="1" t="str">
        <f t="shared" si="207"/>
        <v>24.02.2020</v>
      </c>
      <c r="C1221" s="1" t="str">
        <f t="shared" si="213"/>
        <v>Закрито</v>
      </c>
      <c r="D122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21" s="1" t="str">
        <f>"Земельні питання"</f>
        <v>Земельні питання</v>
      </c>
      <c r="F12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21" s="1" t="str">
        <f>"3"</f>
        <v>3</v>
      </c>
      <c r="H1221" s="1" t="str">
        <f>"Результат"</f>
        <v>Результат</v>
      </c>
      <c r="I1221" s="1" t="str">
        <f>"Мотивована відмова"</f>
        <v>Мотивована відмова</v>
      </c>
      <c r="J1221" s="1" t="str">
        <f>"Ні"</f>
        <v>Ні</v>
      </c>
    </row>
    <row r="1222" spans="1:10" ht="105" x14ac:dyDescent="0.25">
      <c r="A1222" s="1" t="str">
        <f>"1264-2020/27"</f>
        <v>1264-2020/27</v>
      </c>
      <c r="B1222" s="1" t="str">
        <f t="shared" ref="B1222:B1246" si="214">"25.02.2020"</f>
        <v>25.02.2020</v>
      </c>
      <c r="C1222" s="1" t="str">
        <f t="shared" si="213"/>
        <v>Закрито</v>
      </c>
      <c r="D122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22" s="1" t="str">
        <f>"Земельні питання"</f>
        <v>Земельні питання</v>
      </c>
      <c r="F122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222" s="1" t="str">
        <f>"1"</f>
        <v>1</v>
      </c>
      <c r="H1222" s="1" t="str">
        <f>"Результат"</f>
        <v>Результат</v>
      </c>
      <c r="I1222" s="1" t="str">
        <f t="shared" ref="I1222:I1231" si="215">"Позитивний"</f>
        <v>Позитивний</v>
      </c>
      <c r="J1222" s="1" t="str">
        <f>"Так"</f>
        <v>Так</v>
      </c>
    </row>
    <row r="1223" spans="1:10" ht="45" x14ac:dyDescent="0.25">
      <c r="A1223" s="1" t="str">
        <f>"1261-2020/27"</f>
        <v>1261-2020/27</v>
      </c>
      <c r="B1223" s="1" t="str">
        <f t="shared" si="214"/>
        <v>25.02.2020</v>
      </c>
      <c r="C1223" s="1" t="str">
        <f t="shared" si="213"/>
        <v>Закрито</v>
      </c>
      <c r="D1223" s="1" t="str">
        <f>"Реєстрація місця проживання особи"</f>
        <v>Реєстрація місця проживання особи</v>
      </c>
      <c r="E1223" s="1" t="str">
        <f>"Реєстрація місця проживання"</f>
        <v>Реєстрація місця проживання</v>
      </c>
      <c r="F1223" s="1" t="str">
        <f>"Відділ реєстрації Новокаховської міської ради"</f>
        <v>Відділ реєстрації Новокаховської міської ради</v>
      </c>
      <c r="G1223" s="1" t="str">
        <f>"1"</f>
        <v>1</v>
      </c>
      <c r="H1223" s="1" t="str">
        <f>"Результат"</f>
        <v>Результат</v>
      </c>
      <c r="I1223" s="1" t="str">
        <f t="shared" si="215"/>
        <v>Позитивний</v>
      </c>
      <c r="J1223" s="1" t="str">
        <f>"Так"</f>
        <v>Так</v>
      </c>
    </row>
    <row r="1224" spans="1:10" ht="135" x14ac:dyDescent="0.25">
      <c r="A1224" s="1" t="str">
        <f>"1298-2020/27"</f>
        <v>1298-2020/27</v>
      </c>
      <c r="B1224" s="1" t="str">
        <f t="shared" si="214"/>
        <v>25.02.2020</v>
      </c>
      <c r="C1224" s="1" t="str">
        <f t="shared" si="213"/>
        <v>Закрито</v>
      </c>
      <c r="D1224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224" s="1" t="str">
        <f>"Земельні питання"</f>
        <v>Земельні питання</v>
      </c>
      <c r="F12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24" s="1" t="str">
        <f>"14"</f>
        <v>14</v>
      </c>
      <c r="H1224" s="1" t="str">
        <f>"Результат"</f>
        <v>Результат</v>
      </c>
      <c r="I1224" s="1" t="str">
        <f t="shared" si="215"/>
        <v>Позитивний</v>
      </c>
      <c r="J1224" s="1" t="str">
        <f>"Ні"</f>
        <v>Ні</v>
      </c>
    </row>
    <row r="1225" spans="1:10" ht="105" x14ac:dyDescent="0.25">
      <c r="A1225" s="1" t="str">
        <f>"1265-2020/27"</f>
        <v>1265-2020/27</v>
      </c>
      <c r="B1225" s="1" t="str">
        <f t="shared" si="214"/>
        <v>25.02.2020</v>
      </c>
      <c r="C1225" s="1" t="str">
        <f t="shared" si="213"/>
        <v>Закрито</v>
      </c>
      <c r="D122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25" s="1" t="str">
        <f>"Земельні питання"</f>
        <v>Земельні питання</v>
      </c>
      <c r="F122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225" s="1" t="str">
        <f>"1"</f>
        <v>1</v>
      </c>
      <c r="H1225" s="1" t="str">
        <f>"Результат"</f>
        <v>Результат</v>
      </c>
      <c r="I1225" s="1" t="str">
        <f t="shared" si="215"/>
        <v>Позитивний</v>
      </c>
      <c r="J1225" s="1" t="str">
        <f>"Так"</f>
        <v>Так</v>
      </c>
    </row>
    <row r="1226" spans="1:10" ht="45" x14ac:dyDescent="0.25">
      <c r="A1226" s="1" t="str">
        <f>"1262-2020/27"</f>
        <v>1262-2020/27</v>
      </c>
      <c r="B1226" s="1" t="str">
        <f t="shared" si="214"/>
        <v>25.02.2020</v>
      </c>
      <c r="C1226" s="1" t="str">
        <f t="shared" si="213"/>
        <v>Закрито</v>
      </c>
      <c r="D1226" s="1" t="str">
        <f>"Реєстрація місця проживання особи"</f>
        <v>Реєстрація місця проживання особи</v>
      </c>
      <c r="E1226" s="1" t="str">
        <f>"Реєстрація місця проживання"</f>
        <v>Реєстрація місця проживання</v>
      </c>
      <c r="F1226" s="1" t="str">
        <f>"Відділ реєстрації Новокаховської міської ради"</f>
        <v>Відділ реєстрації Новокаховської міської ради</v>
      </c>
      <c r="G1226" s="1" t="str">
        <f>"1"</f>
        <v>1</v>
      </c>
      <c r="H1226" s="1" t="str">
        <f>"Результат"</f>
        <v>Результат</v>
      </c>
      <c r="I1226" s="1" t="str">
        <f t="shared" si="215"/>
        <v>Позитивний</v>
      </c>
      <c r="J1226" s="1" t="str">
        <f>"Так"</f>
        <v>Так</v>
      </c>
    </row>
    <row r="1227" spans="1:10" ht="135" x14ac:dyDescent="0.25">
      <c r="A1227" s="1" t="str">
        <f>"1250-2020/27"</f>
        <v>1250-2020/27</v>
      </c>
      <c r="B1227" s="1" t="str">
        <f t="shared" si="214"/>
        <v>25.02.2020</v>
      </c>
      <c r="C1227" s="1" t="str">
        <f t="shared" si="213"/>
        <v>Закрито</v>
      </c>
      <c r="D1227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227" s="1" t="str">
        <f>"Земельні питання"</f>
        <v>Земельні питання</v>
      </c>
      <c r="F12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27" s="1" t="str">
        <f>"14"</f>
        <v>14</v>
      </c>
      <c r="H1227" s="1" t="str">
        <f>"Результат"</f>
        <v>Результат</v>
      </c>
      <c r="I1227" s="1" t="str">
        <f t="shared" si="215"/>
        <v>Позитивний</v>
      </c>
      <c r="J1227" s="1" t="str">
        <f>"Ні"</f>
        <v>Ні</v>
      </c>
    </row>
    <row r="1228" spans="1:10" ht="135" x14ac:dyDescent="0.25">
      <c r="A1228" s="1" t="str">
        <f>"1249-2020/27"</f>
        <v>1249-2020/27</v>
      </c>
      <c r="B1228" s="1" t="str">
        <f t="shared" si="214"/>
        <v>25.02.2020</v>
      </c>
      <c r="C1228" s="1" t="str">
        <f t="shared" si="213"/>
        <v>Закрито</v>
      </c>
      <c r="D1228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228" s="1" t="str">
        <f>"Земельні питання"</f>
        <v>Земельні питання</v>
      </c>
      <c r="F12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28" s="1" t="str">
        <f>"14"</f>
        <v>14</v>
      </c>
      <c r="H1228" s="1" t="str">
        <f>"Результат"</f>
        <v>Результат</v>
      </c>
      <c r="I1228" s="1" t="str">
        <f t="shared" si="215"/>
        <v>Позитивний</v>
      </c>
      <c r="J1228" s="1" t="str">
        <f>"Ні"</f>
        <v>Ні</v>
      </c>
    </row>
    <row r="1229" spans="1:10" ht="45" x14ac:dyDescent="0.25">
      <c r="A1229" s="1" t="str">
        <f>"1263-2020/27"</f>
        <v>1263-2020/27</v>
      </c>
      <c r="B1229" s="1" t="str">
        <f t="shared" si="214"/>
        <v>25.02.2020</v>
      </c>
      <c r="C1229" s="1" t="str">
        <f t="shared" si="213"/>
        <v>Закрито</v>
      </c>
      <c r="D1229" s="1" t="str">
        <f>"Реєстрація місця проживання особи"</f>
        <v>Реєстрація місця проживання особи</v>
      </c>
      <c r="E1229" s="1" t="str">
        <f>"Реєстрація місця проживання"</f>
        <v>Реєстрація місця проживання</v>
      </c>
      <c r="F1229" s="1" t="str">
        <f>"Відділ реєстрації Новокаховської міської ради"</f>
        <v>Відділ реєстрації Новокаховської міської ради</v>
      </c>
      <c r="G1229" s="1" t="str">
        <f>"1"</f>
        <v>1</v>
      </c>
      <c r="H1229" s="1" t="str">
        <f>"Результат"</f>
        <v>Результат</v>
      </c>
      <c r="I1229" s="1" t="str">
        <f t="shared" si="215"/>
        <v>Позитивний</v>
      </c>
      <c r="J1229" s="1" t="str">
        <f>"Так"</f>
        <v>Так</v>
      </c>
    </row>
    <row r="1230" spans="1:10" ht="135" x14ac:dyDescent="0.25">
      <c r="A1230" s="1" t="str">
        <f>"1299-2020/27"</f>
        <v>1299-2020/27</v>
      </c>
      <c r="B1230" s="1" t="str">
        <f t="shared" si="214"/>
        <v>25.02.2020</v>
      </c>
      <c r="C1230" s="1" t="str">
        <f t="shared" si="213"/>
        <v>Закрито</v>
      </c>
      <c r="D1230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230" s="1" t="str">
        <f>"Земельні питання"</f>
        <v>Земельні питання</v>
      </c>
      <c r="F12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30" s="1" t="str">
        <f>"14"</f>
        <v>14</v>
      </c>
      <c r="H1230" s="1" t="str">
        <f>"Результат"</f>
        <v>Результат</v>
      </c>
      <c r="I1230" s="1" t="str">
        <f t="shared" si="215"/>
        <v>Позитивний</v>
      </c>
      <c r="J1230" s="1" t="str">
        <f>"Ні"</f>
        <v>Ні</v>
      </c>
    </row>
    <row r="1231" spans="1:10" ht="135" x14ac:dyDescent="0.25">
      <c r="A1231" s="1" t="str">
        <f>"1300-2020/27"</f>
        <v>1300-2020/27</v>
      </c>
      <c r="B1231" s="1" t="str">
        <f t="shared" si="214"/>
        <v>25.02.2020</v>
      </c>
      <c r="C1231" s="1" t="str">
        <f t="shared" si="213"/>
        <v>Закрито</v>
      </c>
      <c r="D123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231" s="1" t="str">
        <f>"Земельні питання"</f>
        <v>Земельні питання</v>
      </c>
      <c r="F12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31" s="1" t="str">
        <f>"14"</f>
        <v>14</v>
      </c>
      <c r="H1231" s="1" t="str">
        <f>"Результат"</f>
        <v>Результат</v>
      </c>
      <c r="I1231" s="1" t="str">
        <f t="shared" si="215"/>
        <v>Позитивний</v>
      </c>
      <c r="J1231" s="1" t="str">
        <f>"Ні"</f>
        <v>Ні</v>
      </c>
    </row>
    <row r="1232" spans="1:10" ht="225" x14ac:dyDescent="0.25">
      <c r="A1232" s="1" t="str">
        <f>"1301-2020/27"</f>
        <v>1301-2020/27</v>
      </c>
      <c r="B1232" s="1" t="str">
        <f t="shared" si="214"/>
        <v>25.02.2020</v>
      </c>
      <c r="C1232" s="1" t="str">
        <f>"На обробці в адмін. органі"</f>
        <v>На обробці в адмін. органі</v>
      </c>
      <c r="D1232" s="1" t="str">
        <f>"Видача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ринків"</f>
        <v>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</v>
      </c>
      <c r="E1232" s="1" t="str">
        <f>"Дозволи Держпродспоживслужби"</f>
        <v>Дозволи Держпродспоживслужби</v>
      </c>
      <c r="F1232" s="1" t="str">
        <f>"Управління Держпродспоживслужби в м. Новій Каховці"</f>
        <v>Управління Держпродспоживслужби в м. Новій Каховці</v>
      </c>
      <c r="G1232" s="1" t="str">
        <f>"30"</f>
        <v>30</v>
      </c>
      <c r="H1232" s="1" t="str">
        <f>""</f>
        <v/>
      </c>
      <c r="I1232" s="1" t="str">
        <f>""</f>
        <v/>
      </c>
      <c r="J1232" s="1" t="str">
        <f>"Ні"</f>
        <v>Ні</v>
      </c>
    </row>
    <row r="1233" spans="1:10" ht="225" x14ac:dyDescent="0.25">
      <c r="A1233" s="1" t="str">
        <f>"1258-2020/27"</f>
        <v>1258-2020/27</v>
      </c>
      <c r="B1233" s="1" t="str">
        <f t="shared" si="214"/>
        <v>25.02.2020</v>
      </c>
      <c r="C1233" s="1" t="str">
        <f>"На обробці в адмін. органі"</f>
        <v>На обробці в адмін. органі</v>
      </c>
      <c r="D1233" s="1" t="s">
        <v>1</v>
      </c>
      <c r="E1233" s="1" t="str">
        <f>"Будівництво"</f>
        <v>Будівництво</v>
      </c>
      <c r="F123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33" s="1" t="str">
        <f>"30"</f>
        <v>30</v>
      </c>
      <c r="H1233" s="1" t="str">
        <f>""</f>
        <v/>
      </c>
      <c r="I1233" s="1" t="str">
        <f>""</f>
        <v/>
      </c>
      <c r="J1233" s="1" t="str">
        <f>"Ні"</f>
        <v>Ні</v>
      </c>
    </row>
    <row r="1234" spans="1:10" ht="105" x14ac:dyDescent="0.25">
      <c r="A1234" s="1" t="str">
        <f>"1266-2020/27"</f>
        <v>1266-2020/27</v>
      </c>
      <c r="B1234" s="1" t="str">
        <f t="shared" si="214"/>
        <v>25.02.2020</v>
      </c>
      <c r="C1234" s="1" t="str">
        <f t="shared" ref="C1234:C1239" si="216">"Закрито"</f>
        <v>Закрито</v>
      </c>
      <c r="D123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34" s="1" t="str">
        <f>"Земельні питання"</f>
        <v>Земельні питання</v>
      </c>
      <c r="F123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234" s="1" t="str">
        <f>"1"</f>
        <v>1</v>
      </c>
      <c r="H1234" s="1" t="str">
        <f>"Результат"</f>
        <v>Результат</v>
      </c>
      <c r="I1234" s="1" t="str">
        <f t="shared" ref="I1234:I1239" si="217">"Позитивний"</f>
        <v>Позитивний</v>
      </c>
      <c r="J1234" s="1" t="str">
        <f>"Так"</f>
        <v>Так</v>
      </c>
    </row>
    <row r="1235" spans="1:10" ht="45" x14ac:dyDescent="0.25">
      <c r="A1235" s="1" t="str">
        <f>"1251-2020/27"</f>
        <v>1251-2020/27</v>
      </c>
      <c r="B1235" s="1" t="str">
        <f t="shared" si="214"/>
        <v>25.02.2020</v>
      </c>
      <c r="C1235" s="1" t="str">
        <f t="shared" si="216"/>
        <v>Закрито</v>
      </c>
      <c r="D1235" s="1" t="str">
        <f>"Реєстрація місця проживання особи"</f>
        <v>Реєстрація місця проживання особи</v>
      </c>
      <c r="E1235" s="1" t="str">
        <f>"Реєстрація місця проживання"</f>
        <v>Реєстрація місця проживання</v>
      </c>
      <c r="F1235" s="1" t="str">
        <f>"Відділ реєстрації Новокаховської міської ради"</f>
        <v>Відділ реєстрації Новокаховської міської ради</v>
      </c>
      <c r="G1235" s="1" t="str">
        <f>"1"</f>
        <v>1</v>
      </c>
      <c r="H1235" s="1" t="str">
        <f>"Результат"</f>
        <v>Результат</v>
      </c>
      <c r="I1235" s="1" t="str">
        <f t="shared" si="217"/>
        <v>Позитивний</v>
      </c>
      <c r="J1235" s="1" t="str">
        <f>"Так"</f>
        <v>Так</v>
      </c>
    </row>
    <row r="1236" spans="1:10" ht="90" x14ac:dyDescent="0.25">
      <c r="A1236" s="1" t="str">
        <f>"1257-2020/27"</f>
        <v>1257-2020/27</v>
      </c>
      <c r="B1236" s="1" t="str">
        <f t="shared" si="214"/>
        <v>25.02.2020</v>
      </c>
      <c r="C1236" s="1" t="str">
        <f t="shared" si="216"/>
        <v>Закрито</v>
      </c>
      <c r="D123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236" s="1" t="str">
        <f>"Інші послуги"</f>
        <v>Інші послуги</v>
      </c>
      <c r="F123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236" s="1" t="str">
        <f>"5"</f>
        <v>5</v>
      </c>
      <c r="H1236" s="1" t="str">
        <f>"Результат"</f>
        <v>Результат</v>
      </c>
      <c r="I1236" s="1" t="str">
        <f t="shared" si="217"/>
        <v>Позитивний</v>
      </c>
      <c r="J1236" s="1" t="str">
        <f>"Ні"</f>
        <v>Ні</v>
      </c>
    </row>
    <row r="1237" spans="1:10" ht="45" x14ac:dyDescent="0.25">
      <c r="A1237" s="1" t="str">
        <f>"1297-2020/27"</f>
        <v>1297-2020/27</v>
      </c>
      <c r="B1237" s="1" t="str">
        <f t="shared" si="214"/>
        <v>25.02.2020</v>
      </c>
      <c r="C1237" s="1" t="str">
        <f t="shared" si="216"/>
        <v>Закрито</v>
      </c>
      <c r="D1237" s="1" t="str">
        <f>"Реєстрація місця проживання особи"</f>
        <v>Реєстрація місця проживання особи</v>
      </c>
      <c r="E1237" s="1" t="str">
        <f>"Реєстрація місця проживання"</f>
        <v>Реєстрація місця проживання</v>
      </c>
      <c r="F1237" s="1" t="str">
        <f>"Відділ реєстрації Новокаховської міської ради"</f>
        <v>Відділ реєстрації Новокаховської міської ради</v>
      </c>
      <c r="G1237" s="1" t="str">
        <f>"1"</f>
        <v>1</v>
      </c>
      <c r="H1237" s="1" t="str">
        <f>"Результат"</f>
        <v>Результат</v>
      </c>
      <c r="I1237" s="1" t="str">
        <f t="shared" si="217"/>
        <v>Позитивний</v>
      </c>
      <c r="J1237" s="1" t="str">
        <f>"Так"</f>
        <v>Так</v>
      </c>
    </row>
    <row r="1238" spans="1:10" ht="135" x14ac:dyDescent="0.25">
      <c r="A1238" s="1" t="str">
        <f>"1254-2020/27"</f>
        <v>1254-2020/27</v>
      </c>
      <c r="B1238" s="1" t="str">
        <f t="shared" si="214"/>
        <v>25.02.2020</v>
      </c>
      <c r="C1238" s="1" t="str">
        <f t="shared" si="216"/>
        <v>Закрито</v>
      </c>
      <c r="D123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38" s="1" t="str">
        <f>"Земельні питання"</f>
        <v>Земельні питання</v>
      </c>
      <c r="F12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38" s="1" t="str">
        <f>"14"</f>
        <v>14</v>
      </c>
      <c r="H1238" s="1" t="str">
        <f>"Результат"</f>
        <v>Результат</v>
      </c>
      <c r="I1238" s="1" t="str">
        <f t="shared" si="217"/>
        <v>Позитивний</v>
      </c>
      <c r="J1238" s="1" t="str">
        <f>"Ні"</f>
        <v>Ні</v>
      </c>
    </row>
    <row r="1239" spans="1:10" ht="90" x14ac:dyDescent="0.25">
      <c r="A1239" s="1" t="str">
        <f>"1253-2020/27"</f>
        <v>1253-2020/27</v>
      </c>
      <c r="B1239" s="1" t="str">
        <f t="shared" si="214"/>
        <v>25.02.2020</v>
      </c>
      <c r="C1239" s="1" t="str">
        <f t="shared" si="216"/>
        <v>Закрито</v>
      </c>
      <c r="D123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239" s="1" t="str">
        <f>"Інші послуги"</f>
        <v>Інші послуги</v>
      </c>
      <c r="F123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239" s="1" t="str">
        <f>"5"</f>
        <v>5</v>
      </c>
      <c r="H1239" s="1" t="str">
        <f>"Результат"</f>
        <v>Результат</v>
      </c>
      <c r="I1239" s="1" t="str">
        <f t="shared" si="217"/>
        <v>Позитивний</v>
      </c>
      <c r="J1239" s="1" t="str">
        <f>"Ні"</f>
        <v>Ні</v>
      </c>
    </row>
    <row r="1240" spans="1:10" ht="225" x14ac:dyDescent="0.25">
      <c r="A1240" s="1" t="str">
        <f>"1259-2020/27"</f>
        <v>1259-2020/27</v>
      </c>
      <c r="B1240" s="1" t="str">
        <f t="shared" si="214"/>
        <v>25.02.2020</v>
      </c>
      <c r="C1240" s="1" t="str">
        <f>"На обробці в адмін. органі"</f>
        <v>На обробці в адмін. органі</v>
      </c>
      <c r="D1240" s="1" t="s">
        <v>2</v>
      </c>
      <c r="E1240" s="1" t="str">
        <f>"Будівництво"</f>
        <v>Будівництво</v>
      </c>
      <c r="F124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40" s="1" t="str">
        <f>"30"</f>
        <v>30</v>
      </c>
      <c r="H1240" s="1" t="str">
        <f>""</f>
        <v/>
      </c>
      <c r="I1240" s="1" t="str">
        <f>""</f>
        <v/>
      </c>
      <c r="J1240" s="1" t="str">
        <f>"Ні"</f>
        <v>Ні</v>
      </c>
    </row>
    <row r="1241" spans="1:10" ht="135" x14ac:dyDescent="0.25">
      <c r="A1241" s="1" t="str">
        <f>"1247-2020/27"</f>
        <v>1247-2020/27</v>
      </c>
      <c r="B1241" s="1" t="str">
        <f t="shared" si="214"/>
        <v>25.02.2020</v>
      </c>
      <c r="C1241" s="1" t="str">
        <f t="shared" ref="C1241:C1246" si="218">"Закрито"</f>
        <v>Закрито</v>
      </c>
      <c r="D124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241" s="1" t="str">
        <f>"Земельні питання"</f>
        <v>Земельні питання</v>
      </c>
      <c r="F12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41" s="1" t="str">
        <f>"14"</f>
        <v>14</v>
      </c>
      <c r="H1241" s="1" t="str">
        <f>"Результат"</f>
        <v>Результат</v>
      </c>
      <c r="I1241" s="1" t="str">
        <f t="shared" ref="I1241:I1246" si="219">"Позитивний"</f>
        <v>Позитивний</v>
      </c>
      <c r="J1241" s="1" t="str">
        <f>"Ні"</f>
        <v>Ні</v>
      </c>
    </row>
    <row r="1242" spans="1:10" ht="45" x14ac:dyDescent="0.25">
      <c r="A1242" s="1" t="str">
        <f>"1255-2020/27"</f>
        <v>1255-2020/27</v>
      </c>
      <c r="B1242" s="1" t="str">
        <f t="shared" si="214"/>
        <v>25.02.2020</v>
      </c>
      <c r="C1242" s="1" t="str">
        <f t="shared" si="218"/>
        <v>Закрито</v>
      </c>
      <c r="D1242" s="1" t="str">
        <f>"Реєстрація місця проживання особи"</f>
        <v>Реєстрація місця проживання особи</v>
      </c>
      <c r="E1242" s="1" t="str">
        <f>"Реєстрація місця проживання"</f>
        <v>Реєстрація місця проживання</v>
      </c>
      <c r="F1242" s="1" t="str">
        <f>"Відділ реєстрації Новокаховської міської ради"</f>
        <v>Відділ реєстрації Новокаховської міської ради</v>
      </c>
      <c r="G1242" s="1" t="str">
        <f>"1"</f>
        <v>1</v>
      </c>
      <c r="H1242" s="1" t="str">
        <f>"Результат"</f>
        <v>Результат</v>
      </c>
      <c r="I1242" s="1" t="str">
        <f t="shared" si="219"/>
        <v>Позитивний</v>
      </c>
      <c r="J1242" s="1" t="str">
        <f>"Так"</f>
        <v>Так</v>
      </c>
    </row>
    <row r="1243" spans="1:10" ht="45" x14ac:dyDescent="0.25">
      <c r="A1243" s="1" t="str">
        <f>"1252-2020/27"</f>
        <v>1252-2020/27</v>
      </c>
      <c r="B1243" s="1" t="str">
        <f t="shared" si="214"/>
        <v>25.02.2020</v>
      </c>
      <c r="C1243" s="1" t="str">
        <f t="shared" si="218"/>
        <v>Закрито</v>
      </c>
      <c r="D1243" s="1" t="str">
        <f>"Реєстрація місця проживання особи"</f>
        <v>Реєстрація місця проживання особи</v>
      </c>
      <c r="E1243" s="1" t="str">
        <f>"Реєстрація місця проживання"</f>
        <v>Реєстрація місця проживання</v>
      </c>
      <c r="F1243" s="1" t="str">
        <f>"Відділ реєстрації Новокаховської міської ради"</f>
        <v>Відділ реєстрації Новокаховської міської ради</v>
      </c>
      <c r="G1243" s="1" t="str">
        <f>"1"</f>
        <v>1</v>
      </c>
      <c r="H1243" s="1" t="str">
        <f>"Результат"</f>
        <v>Результат</v>
      </c>
      <c r="I1243" s="1" t="str">
        <f t="shared" si="219"/>
        <v>Позитивний</v>
      </c>
      <c r="J1243" s="1" t="str">
        <f>"Так"</f>
        <v>Так</v>
      </c>
    </row>
    <row r="1244" spans="1:10" ht="90" x14ac:dyDescent="0.25">
      <c r="A1244" s="1" t="str">
        <f>"1260-2020/27"</f>
        <v>1260-2020/27</v>
      </c>
      <c r="B1244" s="1" t="str">
        <f t="shared" si="214"/>
        <v>25.02.2020</v>
      </c>
      <c r="C1244" s="1" t="str">
        <f t="shared" si="218"/>
        <v>Закрито</v>
      </c>
      <c r="D12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244" s="1" t="str">
        <f>"Інші послуги"</f>
        <v>Інші послуги</v>
      </c>
      <c r="F12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244" s="1" t="str">
        <f>"5"</f>
        <v>5</v>
      </c>
      <c r="H1244" s="1" t="str">
        <f>"Результат"</f>
        <v>Результат</v>
      </c>
      <c r="I1244" s="1" t="str">
        <f t="shared" si="219"/>
        <v>Позитивний</v>
      </c>
      <c r="J1244" s="1" t="str">
        <f>"Ні"</f>
        <v>Ні</v>
      </c>
    </row>
    <row r="1245" spans="1:10" ht="135" x14ac:dyDescent="0.25">
      <c r="A1245" s="1" t="str">
        <f>"1256-2020/27"</f>
        <v>1256-2020/27</v>
      </c>
      <c r="B1245" s="1" t="str">
        <f t="shared" si="214"/>
        <v>25.02.2020</v>
      </c>
      <c r="C1245" s="1" t="str">
        <f t="shared" si="218"/>
        <v>Закрито</v>
      </c>
      <c r="D124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45" s="1" t="str">
        <f>"Земельні питання"</f>
        <v>Земельні питання</v>
      </c>
      <c r="F12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45" s="1" t="str">
        <f>"14"</f>
        <v>14</v>
      </c>
      <c r="H1245" s="1" t="str">
        <f>"Результат"</f>
        <v>Результат</v>
      </c>
      <c r="I1245" s="1" t="str">
        <f t="shared" si="219"/>
        <v>Позитивний</v>
      </c>
      <c r="J1245" s="1" t="str">
        <f>"Ні"</f>
        <v>Ні</v>
      </c>
    </row>
    <row r="1246" spans="1:10" ht="45" x14ac:dyDescent="0.25">
      <c r="A1246" s="1" t="str">
        <f>"1248-2020/27"</f>
        <v>1248-2020/27</v>
      </c>
      <c r="B1246" s="1" t="str">
        <f t="shared" si="214"/>
        <v>25.02.2020</v>
      </c>
      <c r="C1246" s="1" t="str">
        <f t="shared" si="218"/>
        <v>Закрито</v>
      </c>
      <c r="D1246" s="1" t="str">
        <f>"Зняття з реєстрації місця проживання"</f>
        <v>Зняття з реєстрації місця проживання</v>
      </c>
      <c r="E1246" s="1" t="str">
        <f>"Реєстрація місця проживання"</f>
        <v>Реєстрація місця проживання</v>
      </c>
      <c r="F1246" s="1" t="str">
        <f>"Відділ реєстрації Новокаховської міської ради"</f>
        <v>Відділ реєстрації Новокаховської міської ради</v>
      </c>
      <c r="G1246" s="1" t="str">
        <f>"1"</f>
        <v>1</v>
      </c>
      <c r="H1246" s="1" t="str">
        <f>"Результат"</f>
        <v>Результат</v>
      </c>
      <c r="I1246" s="1" t="str">
        <f t="shared" si="219"/>
        <v>Позитивний</v>
      </c>
      <c r="J1246" s="1" t="str">
        <f>"Так"</f>
        <v>Так</v>
      </c>
    </row>
    <row r="1247" spans="1:10" ht="225" x14ac:dyDescent="0.25">
      <c r="A1247" s="1" t="str">
        <f>"1303-2020/27"</f>
        <v>1303-2020/27</v>
      </c>
      <c r="B1247" s="1" t="str">
        <f t="shared" ref="B1247:B1287" si="220">"26.02.2020"</f>
        <v>26.02.2020</v>
      </c>
      <c r="C1247" s="1" t="str">
        <f>"На обробці в адмін. органі"</f>
        <v>На обробці в адмін. органі</v>
      </c>
      <c r="D1247" s="1" t="s">
        <v>2</v>
      </c>
      <c r="E1247" s="1" t="str">
        <f>"Будівництво"</f>
        <v>Будівництво</v>
      </c>
      <c r="F124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47" s="1" t="str">
        <f>"30"</f>
        <v>30</v>
      </c>
      <c r="H1247" s="1" t="str">
        <f>""</f>
        <v/>
      </c>
      <c r="I1247" s="1" t="str">
        <f>""</f>
        <v/>
      </c>
      <c r="J1247" s="1" t="str">
        <f>"Ні"</f>
        <v>Ні</v>
      </c>
    </row>
    <row r="1248" spans="1:10" ht="45" x14ac:dyDescent="0.25">
      <c r="A1248" s="1" t="str">
        <f>"1336-2020/27"</f>
        <v>1336-2020/27</v>
      </c>
      <c r="B1248" s="1" t="str">
        <f t="shared" si="220"/>
        <v>26.02.2020</v>
      </c>
      <c r="C1248" s="1" t="str">
        <f t="shared" ref="C1248:C1311" si="221">"Закрито"</f>
        <v>Закрито</v>
      </c>
      <c r="D1248" s="1" t="str">
        <f>"Реєстрація місця проживання особи"</f>
        <v>Реєстрація місця проживання особи</v>
      </c>
      <c r="E1248" s="1" t="str">
        <f>"Реєстрація місця проживання"</f>
        <v>Реєстрація місця проживання</v>
      </c>
      <c r="F1248" s="1" t="str">
        <f>"Відділ реєстрації Новокаховської міської ради"</f>
        <v>Відділ реєстрації Новокаховської міської ради</v>
      </c>
      <c r="G1248" s="1" t="str">
        <f>"1"</f>
        <v>1</v>
      </c>
      <c r="H1248" s="1" t="str">
        <f>"Результат"</f>
        <v>Результат</v>
      </c>
      <c r="I1248" s="1" t="str">
        <f t="shared" ref="I1248:I1279" si="222">"Позитивний"</f>
        <v>Позитивний</v>
      </c>
      <c r="J1248" s="1" t="str">
        <f>"Так"</f>
        <v>Так</v>
      </c>
    </row>
    <row r="1249" spans="1:10" ht="135" x14ac:dyDescent="0.25">
      <c r="A1249" s="1" t="str">
        <f>"1327-2020/27"</f>
        <v>1327-2020/27</v>
      </c>
      <c r="B1249" s="1" t="str">
        <f t="shared" si="220"/>
        <v>26.02.2020</v>
      </c>
      <c r="C1249" s="1" t="str">
        <f t="shared" si="221"/>
        <v>Закрито</v>
      </c>
      <c r="D12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49" s="1" t="str">
        <f>"Земельні питання"</f>
        <v>Земельні питання</v>
      </c>
      <c r="F12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49" s="1" t="str">
        <f>"1"</f>
        <v>1</v>
      </c>
      <c r="H1249" s="1" t="str">
        <f>"Результат"</f>
        <v>Результат</v>
      </c>
      <c r="I1249" s="1" t="str">
        <f t="shared" si="222"/>
        <v>Позитивний</v>
      </c>
      <c r="J1249" s="1" t="str">
        <f>"Так"</f>
        <v>Так</v>
      </c>
    </row>
    <row r="1250" spans="1:10" ht="135" x14ac:dyDescent="0.25">
      <c r="A1250" s="1" t="str">
        <f>"1311-2020/27"</f>
        <v>1311-2020/27</v>
      </c>
      <c r="B1250" s="1" t="str">
        <f t="shared" si="220"/>
        <v>26.02.2020</v>
      </c>
      <c r="C1250" s="1" t="str">
        <f t="shared" si="221"/>
        <v>Закрито</v>
      </c>
      <c r="D125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50" s="1" t="str">
        <f>"Земельні питання"</f>
        <v>Земельні питання</v>
      </c>
      <c r="F12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0" s="1" t="str">
        <f>"14"</f>
        <v>14</v>
      </c>
      <c r="H1250" s="1" t="str">
        <f>"Результат"</f>
        <v>Результат</v>
      </c>
      <c r="I1250" s="1" t="str">
        <f t="shared" si="222"/>
        <v>Позитивний</v>
      </c>
      <c r="J1250" s="1" t="str">
        <f>"Ні"</f>
        <v>Ні</v>
      </c>
    </row>
    <row r="1251" spans="1:10" ht="225" x14ac:dyDescent="0.25">
      <c r="A1251" s="1" t="str">
        <f>"1331-2020/27"</f>
        <v>1331-2020/27</v>
      </c>
      <c r="B1251" s="1" t="str">
        <f t="shared" si="220"/>
        <v>26.02.2020</v>
      </c>
      <c r="C1251" s="1" t="str">
        <f t="shared" si="221"/>
        <v>Закрито</v>
      </c>
      <c r="D1251" s="1" t="s">
        <v>0</v>
      </c>
      <c r="E1251" s="1" t="str">
        <f>"Будівництво"</f>
        <v>Будівництво</v>
      </c>
      <c r="F125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51" s="1" t="str">
        <f>"10"</f>
        <v>10</v>
      </c>
      <c r="H1251" s="1" t="str">
        <f>"Результат"</f>
        <v>Результат</v>
      </c>
      <c r="I1251" s="1" t="str">
        <f t="shared" si="222"/>
        <v>Позитивний</v>
      </c>
      <c r="J1251" s="1" t="str">
        <f>"Ні"</f>
        <v>Ні</v>
      </c>
    </row>
    <row r="1252" spans="1:10" ht="135" x14ac:dyDescent="0.25">
      <c r="A1252" s="1" t="str">
        <f>"1308-2020/27"</f>
        <v>1308-2020/27</v>
      </c>
      <c r="B1252" s="1" t="str">
        <f t="shared" si="220"/>
        <v>26.02.2020</v>
      </c>
      <c r="C1252" s="1" t="str">
        <f t="shared" si="221"/>
        <v>Закрито</v>
      </c>
      <c r="D125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52" s="1" t="str">
        <f>"Земельні питання"</f>
        <v>Земельні питання</v>
      </c>
      <c r="F12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2" s="1" t="str">
        <f>"14"</f>
        <v>14</v>
      </c>
      <c r="H1252" s="1" t="str">
        <f>"Результат"</f>
        <v>Результат</v>
      </c>
      <c r="I1252" s="1" t="str">
        <f t="shared" si="222"/>
        <v>Позитивний</v>
      </c>
      <c r="J1252" s="1" t="str">
        <f>"Ні"</f>
        <v>Ні</v>
      </c>
    </row>
    <row r="1253" spans="1:10" ht="135" x14ac:dyDescent="0.25">
      <c r="A1253" s="1" t="str">
        <f>"1318-2020/27"</f>
        <v>1318-2020/27</v>
      </c>
      <c r="B1253" s="1" t="str">
        <f t="shared" si="220"/>
        <v>26.02.2020</v>
      </c>
      <c r="C1253" s="1" t="str">
        <f t="shared" si="221"/>
        <v>Закрито</v>
      </c>
      <c r="D1253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53" s="1" t="str">
        <f>"Земельні питання"</f>
        <v>Земельні питання</v>
      </c>
      <c r="F12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3" s="1" t="str">
        <f>"14"</f>
        <v>14</v>
      </c>
      <c r="H1253" s="1" t="str">
        <f>"Результат"</f>
        <v>Результат</v>
      </c>
      <c r="I1253" s="1" t="str">
        <f t="shared" si="222"/>
        <v>Позитивний</v>
      </c>
      <c r="J1253" s="1" t="str">
        <f>"Ні"</f>
        <v>Ні</v>
      </c>
    </row>
    <row r="1254" spans="1:10" ht="45" x14ac:dyDescent="0.25">
      <c r="A1254" s="1" t="str">
        <f>"1322-2020/27"</f>
        <v>1322-2020/27</v>
      </c>
      <c r="B1254" s="1" t="str">
        <f t="shared" si="220"/>
        <v>26.02.2020</v>
      </c>
      <c r="C1254" s="1" t="str">
        <f t="shared" si="221"/>
        <v>Закрито</v>
      </c>
      <c r="D1254" s="1" t="str">
        <f>"Зняття з реєстрації місця проживання"</f>
        <v>Зняття з реєстрації місця проживання</v>
      </c>
      <c r="E1254" s="1" t="str">
        <f>"Реєстрація місця проживання"</f>
        <v>Реєстрація місця проживання</v>
      </c>
      <c r="F1254" s="1" t="str">
        <f>"Відділ реєстрації Новокаховської міської ради"</f>
        <v>Відділ реєстрації Новокаховської міської ради</v>
      </c>
      <c r="G1254" s="1" t="str">
        <f>"1"</f>
        <v>1</v>
      </c>
      <c r="H1254" s="1" t="str">
        <f>"Результат"</f>
        <v>Результат</v>
      </c>
      <c r="I1254" s="1" t="str">
        <f t="shared" si="222"/>
        <v>Позитивний</v>
      </c>
      <c r="J1254" s="1" t="str">
        <f>"Так"</f>
        <v>Так</v>
      </c>
    </row>
    <row r="1255" spans="1:10" ht="135" x14ac:dyDescent="0.25">
      <c r="A1255" s="1" t="str">
        <f>"1310-2020/27"</f>
        <v>1310-2020/27</v>
      </c>
      <c r="B1255" s="1" t="str">
        <f t="shared" si="220"/>
        <v>26.02.2020</v>
      </c>
      <c r="C1255" s="1" t="str">
        <f t="shared" si="221"/>
        <v>Закрито</v>
      </c>
      <c r="D1255" s="1" t="str">
        <f t="shared" ref="D1255:D1260" si="223"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55" s="1" t="str">
        <f t="shared" ref="E1255:E1260" si="224">"Земельні питання"</f>
        <v>Земельні питання</v>
      </c>
      <c r="F1255" s="1" t="str">
        <f t="shared" ref="F1255:F1260" si="225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5" s="1" t="str">
        <f t="shared" ref="G1255:G1260" si="226">"14"</f>
        <v>14</v>
      </c>
      <c r="H1255" s="1" t="str">
        <f>"Результат"</f>
        <v>Результат</v>
      </c>
      <c r="I1255" s="1" t="str">
        <f t="shared" si="222"/>
        <v>Позитивний</v>
      </c>
      <c r="J1255" s="1" t="str">
        <f t="shared" ref="J1255:J1260" si="227">"Ні"</f>
        <v>Ні</v>
      </c>
    </row>
    <row r="1256" spans="1:10" ht="135" x14ac:dyDescent="0.25">
      <c r="A1256" s="1" t="str">
        <f>"1302-2020/27"</f>
        <v>1302-2020/27</v>
      </c>
      <c r="B1256" s="1" t="str">
        <f t="shared" si="220"/>
        <v>26.02.2020</v>
      </c>
      <c r="C1256" s="1" t="str">
        <f t="shared" si="221"/>
        <v>Закрито</v>
      </c>
      <c r="D1256" s="1" t="str">
        <f t="shared" si="223"/>
        <v>Внесення до Державного земельного кадастру відомостей (змін до них) про земельну ділянку з видачею витягу</v>
      </c>
      <c r="E1256" s="1" t="str">
        <f t="shared" si="224"/>
        <v>Земельні питання</v>
      </c>
      <c r="F1256" s="1" t="str">
        <f t="shared" si="2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6" s="1" t="str">
        <f t="shared" si="226"/>
        <v>14</v>
      </c>
      <c r="H1256" s="1" t="str">
        <f>"Результат"</f>
        <v>Результат</v>
      </c>
      <c r="I1256" s="1" t="str">
        <f t="shared" si="222"/>
        <v>Позитивний</v>
      </c>
      <c r="J1256" s="1" t="str">
        <f t="shared" si="227"/>
        <v>Ні</v>
      </c>
    </row>
    <row r="1257" spans="1:10" ht="135" x14ac:dyDescent="0.25">
      <c r="A1257" s="1" t="str">
        <f>"1329-2020/27"</f>
        <v>1329-2020/27</v>
      </c>
      <c r="B1257" s="1" t="str">
        <f t="shared" si="220"/>
        <v>26.02.2020</v>
      </c>
      <c r="C1257" s="1" t="str">
        <f t="shared" si="221"/>
        <v>Закрито</v>
      </c>
      <c r="D1257" s="1" t="str">
        <f t="shared" si="223"/>
        <v>Внесення до Державного земельного кадастру відомостей (змін до них) про земельну ділянку з видачею витягу</v>
      </c>
      <c r="E1257" s="1" t="str">
        <f t="shared" si="224"/>
        <v>Земельні питання</v>
      </c>
      <c r="F1257" s="1" t="str">
        <f t="shared" si="2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7" s="1" t="str">
        <f t="shared" si="226"/>
        <v>14</v>
      </c>
      <c r="H1257" s="1" t="str">
        <f>"Результат"</f>
        <v>Результат</v>
      </c>
      <c r="I1257" s="1" t="str">
        <f t="shared" si="222"/>
        <v>Позитивний</v>
      </c>
      <c r="J1257" s="1" t="str">
        <f t="shared" si="227"/>
        <v>Ні</v>
      </c>
    </row>
    <row r="1258" spans="1:10" ht="135" x14ac:dyDescent="0.25">
      <c r="A1258" s="1" t="str">
        <f>"1307-2020/27"</f>
        <v>1307-2020/27</v>
      </c>
      <c r="B1258" s="1" t="str">
        <f t="shared" si="220"/>
        <v>26.02.2020</v>
      </c>
      <c r="C1258" s="1" t="str">
        <f t="shared" si="221"/>
        <v>Закрито</v>
      </c>
      <c r="D1258" s="1" t="str">
        <f t="shared" si="223"/>
        <v>Внесення до Державного земельного кадастру відомостей (змін до них) про земельну ділянку з видачею витягу</v>
      </c>
      <c r="E1258" s="1" t="str">
        <f t="shared" si="224"/>
        <v>Земельні питання</v>
      </c>
      <c r="F1258" s="1" t="str">
        <f t="shared" si="2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8" s="1" t="str">
        <f t="shared" si="226"/>
        <v>14</v>
      </c>
      <c r="H1258" s="1" t="str">
        <f>"Результат"</f>
        <v>Результат</v>
      </c>
      <c r="I1258" s="1" t="str">
        <f t="shared" si="222"/>
        <v>Позитивний</v>
      </c>
      <c r="J1258" s="1" t="str">
        <f t="shared" si="227"/>
        <v>Ні</v>
      </c>
    </row>
    <row r="1259" spans="1:10" ht="135" x14ac:dyDescent="0.25">
      <c r="A1259" s="1" t="str">
        <f>"1317-2020/27"</f>
        <v>1317-2020/27</v>
      </c>
      <c r="B1259" s="1" t="str">
        <f t="shared" si="220"/>
        <v>26.02.2020</v>
      </c>
      <c r="C1259" s="1" t="str">
        <f t="shared" si="221"/>
        <v>Закрито</v>
      </c>
      <c r="D1259" s="1" t="str">
        <f t="shared" si="223"/>
        <v>Внесення до Державного земельного кадастру відомостей (змін до них) про земельну ділянку з видачею витягу</v>
      </c>
      <c r="E1259" s="1" t="str">
        <f t="shared" si="224"/>
        <v>Земельні питання</v>
      </c>
      <c r="F1259" s="1" t="str">
        <f t="shared" si="2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59" s="1" t="str">
        <f t="shared" si="226"/>
        <v>14</v>
      </c>
      <c r="H1259" s="1" t="str">
        <f>"Результат"</f>
        <v>Результат</v>
      </c>
      <c r="I1259" s="1" t="str">
        <f t="shared" si="222"/>
        <v>Позитивний</v>
      </c>
      <c r="J1259" s="1" t="str">
        <f t="shared" si="227"/>
        <v>Ні</v>
      </c>
    </row>
    <row r="1260" spans="1:10" ht="135" x14ac:dyDescent="0.25">
      <c r="A1260" s="1" t="str">
        <f>"1319-2020/27"</f>
        <v>1319-2020/27</v>
      </c>
      <c r="B1260" s="1" t="str">
        <f t="shared" si="220"/>
        <v>26.02.2020</v>
      </c>
      <c r="C1260" s="1" t="str">
        <f t="shared" si="221"/>
        <v>Закрито</v>
      </c>
      <c r="D1260" s="1" t="str">
        <f t="shared" si="223"/>
        <v>Внесення до Державного земельного кадастру відомостей (змін до них) про земельну ділянку з видачею витягу</v>
      </c>
      <c r="E1260" s="1" t="str">
        <f t="shared" si="224"/>
        <v>Земельні питання</v>
      </c>
      <c r="F1260" s="1" t="str">
        <f t="shared" si="22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60" s="1" t="str">
        <f t="shared" si="226"/>
        <v>14</v>
      </c>
      <c r="H1260" s="1" t="str">
        <f>"Результат"</f>
        <v>Результат</v>
      </c>
      <c r="I1260" s="1" t="str">
        <f t="shared" si="222"/>
        <v>Позитивний</v>
      </c>
      <c r="J1260" s="1" t="str">
        <f t="shared" si="227"/>
        <v>Ні</v>
      </c>
    </row>
    <row r="1261" spans="1:10" ht="45" x14ac:dyDescent="0.25">
      <c r="A1261" s="1" t="str">
        <f>"1340-2020/27"</f>
        <v>1340-2020/27</v>
      </c>
      <c r="B1261" s="1" t="str">
        <f t="shared" si="220"/>
        <v>26.02.2020</v>
      </c>
      <c r="C1261" s="1" t="str">
        <f t="shared" si="221"/>
        <v>Закрито</v>
      </c>
      <c r="D1261" s="1" t="str">
        <f>"Реєстрація місця проживання особи"</f>
        <v>Реєстрація місця проживання особи</v>
      </c>
      <c r="E1261" s="1" t="str">
        <f>"Реєстрація місця проживання"</f>
        <v>Реєстрація місця проживання</v>
      </c>
      <c r="F1261" s="1" t="str">
        <f>"Відділ реєстрації Новокаховської міської ради"</f>
        <v>Відділ реєстрації Новокаховської міської ради</v>
      </c>
      <c r="G1261" s="1" t="str">
        <f>"1"</f>
        <v>1</v>
      </c>
      <c r="H1261" s="1" t="str">
        <f>"Результат"</f>
        <v>Результат</v>
      </c>
      <c r="I1261" s="1" t="str">
        <f t="shared" si="222"/>
        <v>Позитивний</v>
      </c>
      <c r="J1261" s="1" t="str">
        <f>"Так"</f>
        <v>Так</v>
      </c>
    </row>
    <row r="1262" spans="1:10" ht="135" x14ac:dyDescent="0.25">
      <c r="A1262" s="1" t="str">
        <f>"1313-2020/27"</f>
        <v>1313-2020/27</v>
      </c>
      <c r="B1262" s="1" t="str">
        <f t="shared" si="220"/>
        <v>26.02.2020</v>
      </c>
      <c r="C1262" s="1" t="str">
        <f t="shared" si="221"/>
        <v>Закрито</v>
      </c>
      <c r="D126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62" s="1" t="str">
        <f>"Земельні питання"</f>
        <v>Земельні питання</v>
      </c>
      <c r="F12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62" s="1" t="str">
        <f>"14"</f>
        <v>14</v>
      </c>
      <c r="H1262" s="1" t="str">
        <f>"Результат"</f>
        <v>Результат</v>
      </c>
      <c r="I1262" s="1" t="str">
        <f t="shared" si="222"/>
        <v>Позитивний</v>
      </c>
      <c r="J1262" s="1" t="str">
        <f>"Ні"</f>
        <v>Ні</v>
      </c>
    </row>
    <row r="1263" spans="1:10" ht="45" x14ac:dyDescent="0.25">
      <c r="A1263" s="1" t="str">
        <f>"1324-2020/27"</f>
        <v>1324-2020/27</v>
      </c>
      <c r="B1263" s="1" t="str">
        <f t="shared" si="220"/>
        <v>26.02.2020</v>
      </c>
      <c r="C1263" s="1" t="str">
        <f t="shared" si="221"/>
        <v>Закрито</v>
      </c>
      <c r="D1263" s="1" t="str">
        <f>"Зняття з реєстрації місця проживання"</f>
        <v>Зняття з реєстрації місця проживання</v>
      </c>
      <c r="E1263" s="1" t="str">
        <f>"Реєстрація місця проживання"</f>
        <v>Реєстрація місця проживання</v>
      </c>
      <c r="F1263" s="1" t="str">
        <f>"Відділ реєстрації Новокаховської міської ради"</f>
        <v>Відділ реєстрації Новокаховської міської ради</v>
      </c>
      <c r="G1263" s="1" t="str">
        <f>"1"</f>
        <v>1</v>
      </c>
      <c r="H1263" s="1" t="str">
        <f>"Результат"</f>
        <v>Результат</v>
      </c>
      <c r="I1263" s="1" t="str">
        <f t="shared" si="222"/>
        <v>Позитивний</v>
      </c>
      <c r="J1263" s="1" t="str">
        <f>"Так"</f>
        <v>Так</v>
      </c>
    </row>
    <row r="1264" spans="1:10" ht="135" x14ac:dyDescent="0.25">
      <c r="A1264" s="1" t="str">
        <f>"1315-2020/27"</f>
        <v>1315-2020/27</v>
      </c>
      <c r="B1264" s="1" t="str">
        <f t="shared" si="220"/>
        <v>26.02.2020</v>
      </c>
      <c r="C1264" s="1" t="str">
        <f t="shared" si="221"/>
        <v>Закрито</v>
      </c>
      <c r="D126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64" s="1" t="str">
        <f>"Земельні питання"</f>
        <v>Земельні питання</v>
      </c>
      <c r="F12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64" s="1" t="str">
        <f>"14"</f>
        <v>14</v>
      </c>
      <c r="H1264" s="1" t="str">
        <f>"Результат"</f>
        <v>Результат</v>
      </c>
      <c r="I1264" s="1" t="str">
        <f t="shared" si="222"/>
        <v>Позитивний</v>
      </c>
      <c r="J1264" s="1" t="str">
        <f>"Ні"</f>
        <v>Ні</v>
      </c>
    </row>
    <row r="1265" spans="1:10" ht="135" x14ac:dyDescent="0.25">
      <c r="A1265" s="1" t="str">
        <f>"1325-2020/27"</f>
        <v>1325-2020/27</v>
      </c>
      <c r="B1265" s="1" t="str">
        <f t="shared" si="220"/>
        <v>26.02.2020</v>
      </c>
      <c r="C1265" s="1" t="str">
        <f t="shared" si="221"/>
        <v>Закрито</v>
      </c>
      <c r="D12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65" s="1" t="str">
        <f>"Земельні питання"</f>
        <v>Земельні питання</v>
      </c>
      <c r="F12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65" s="1" t="str">
        <f>"1"</f>
        <v>1</v>
      </c>
      <c r="H1265" s="1" t="str">
        <f>"Результат"</f>
        <v>Результат</v>
      </c>
      <c r="I1265" s="1" t="str">
        <f t="shared" si="222"/>
        <v>Позитивний</v>
      </c>
      <c r="J1265" s="1" t="str">
        <f>"Так"</f>
        <v>Так</v>
      </c>
    </row>
    <row r="1266" spans="1:10" ht="45" x14ac:dyDescent="0.25">
      <c r="A1266" s="1" t="str">
        <f>"1337-2020/27"</f>
        <v>1337-2020/27</v>
      </c>
      <c r="B1266" s="1" t="str">
        <f t="shared" si="220"/>
        <v>26.02.2020</v>
      </c>
      <c r="C1266" s="1" t="str">
        <f t="shared" si="221"/>
        <v>Закрито</v>
      </c>
      <c r="D1266" s="1" t="str">
        <f>"Реєстрація місця проживання особи"</f>
        <v>Реєстрація місця проживання особи</v>
      </c>
      <c r="E1266" s="1" t="str">
        <f>"Реєстрація місця проживання"</f>
        <v>Реєстрація місця проживання</v>
      </c>
      <c r="F1266" s="1" t="str">
        <f>"Відділ реєстрації Новокаховської міської ради"</f>
        <v>Відділ реєстрації Новокаховської міської ради</v>
      </c>
      <c r="G1266" s="1" t="str">
        <f>"1"</f>
        <v>1</v>
      </c>
      <c r="H1266" s="1" t="str">
        <f>"Результат"</f>
        <v>Результат</v>
      </c>
      <c r="I1266" s="1" t="str">
        <f t="shared" si="222"/>
        <v>Позитивний</v>
      </c>
      <c r="J1266" s="1" t="str">
        <f>"Так"</f>
        <v>Так</v>
      </c>
    </row>
    <row r="1267" spans="1:10" ht="120" x14ac:dyDescent="0.25">
      <c r="A1267" s="1" t="str">
        <f>"1330-2020/27"</f>
        <v>1330-2020/27</v>
      </c>
      <c r="B1267" s="1" t="str">
        <f t="shared" si="220"/>
        <v>26.02.2020</v>
      </c>
      <c r="C1267" s="1" t="str">
        <f t="shared" si="221"/>
        <v>Закрито</v>
      </c>
      <c r="D1267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267" s="1" t="str">
        <f>"Будівництво"</f>
        <v>Будівництво</v>
      </c>
      <c r="F126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67" s="1" t="str">
        <f>"10"</f>
        <v>10</v>
      </c>
      <c r="H1267" s="1" t="str">
        <f>"Результат"</f>
        <v>Результат</v>
      </c>
      <c r="I1267" s="1" t="str">
        <f t="shared" si="222"/>
        <v>Позитивний</v>
      </c>
      <c r="J1267" s="1" t="str">
        <f>"Ні"</f>
        <v>Ні</v>
      </c>
    </row>
    <row r="1268" spans="1:10" ht="45" x14ac:dyDescent="0.25">
      <c r="A1268" s="1" t="str">
        <f>"1335-2020/27"</f>
        <v>1335-2020/27</v>
      </c>
      <c r="B1268" s="1" t="str">
        <f t="shared" si="220"/>
        <v>26.02.2020</v>
      </c>
      <c r="C1268" s="1" t="str">
        <f t="shared" si="221"/>
        <v>Закрито</v>
      </c>
      <c r="D1268" s="1" t="str">
        <f>"Реєстрація місця проживання особи"</f>
        <v>Реєстрація місця проживання особи</v>
      </c>
      <c r="E1268" s="1" t="str">
        <f>"Реєстрація місця проживання"</f>
        <v>Реєстрація місця проживання</v>
      </c>
      <c r="F1268" s="1" t="str">
        <f>"Відділ реєстрації Новокаховської міської ради"</f>
        <v>Відділ реєстрації Новокаховської міської ради</v>
      </c>
      <c r="G1268" s="1" t="str">
        <f>"1"</f>
        <v>1</v>
      </c>
      <c r="H1268" s="1" t="str">
        <f>"Результат"</f>
        <v>Результат</v>
      </c>
      <c r="I1268" s="1" t="str">
        <f t="shared" si="222"/>
        <v>Позитивний</v>
      </c>
      <c r="J1268" s="1" t="str">
        <f>"Так"</f>
        <v>Так</v>
      </c>
    </row>
    <row r="1269" spans="1:10" ht="45" x14ac:dyDescent="0.25">
      <c r="A1269" s="1" t="str">
        <f>"1334-2020/27"</f>
        <v>1334-2020/27</v>
      </c>
      <c r="B1269" s="1" t="str">
        <f t="shared" si="220"/>
        <v>26.02.2020</v>
      </c>
      <c r="C1269" s="1" t="str">
        <f t="shared" si="221"/>
        <v>Закрито</v>
      </c>
      <c r="D1269" s="1" t="str">
        <f>"Реєстрація місця проживання особи"</f>
        <v>Реєстрація місця проживання особи</v>
      </c>
      <c r="E1269" s="1" t="str">
        <f>"Реєстрація місця проживання"</f>
        <v>Реєстрація місця проживання</v>
      </c>
      <c r="F1269" s="1" t="str">
        <f>"Відділ реєстрації Новокаховської міської ради"</f>
        <v>Відділ реєстрації Новокаховської міської ради</v>
      </c>
      <c r="G1269" s="1" t="str">
        <f>"1"</f>
        <v>1</v>
      </c>
      <c r="H1269" s="1" t="str">
        <f>"Результат"</f>
        <v>Результат</v>
      </c>
      <c r="I1269" s="1" t="str">
        <f t="shared" si="222"/>
        <v>Позитивний</v>
      </c>
      <c r="J1269" s="1" t="str">
        <f>"Так"</f>
        <v>Так</v>
      </c>
    </row>
    <row r="1270" spans="1:10" ht="45" x14ac:dyDescent="0.25">
      <c r="A1270" s="1" t="str">
        <f>"1305-2020/27"</f>
        <v>1305-2020/27</v>
      </c>
      <c r="B1270" s="1" t="str">
        <f t="shared" si="220"/>
        <v>26.02.2020</v>
      </c>
      <c r="C1270" s="1" t="str">
        <f t="shared" si="221"/>
        <v>Закрито</v>
      </c>
      <c r="D1270" s="1" t="str">
        <f>"Зняття з реєстрації місця проживання"</f>
        <v>Зняття з реєстрації місця проживання</v>
      </c>
      <c r="E1270" s="1" t="str">
        <f>"Реєстрація місця проживання"</f>
        <v>Реєстрація місця проживання</v>
      </c>
      <c r="F1270" s="1" t="str">
        <f>"Відділ реєстрації Новокаховської міської ради"</f>
        <v>Відділ реєстрації Новокаховської міської ради</v>
      </c>
      <c r="G1270" s="1" t="str">
        <f>"1"</f>
        <v>1</v>
      </c>
      <c r="H1270" s="1" t="str">
        <f>"Результат"</f>
        <v>Результат</v>
      </c>
      <c r="I1270" s="1" t="str">
        <f t="shared" si="222"/>
        <v>Позитивний</v>
      </c>
      <c r="J1270" s="1" t="str">
        <f>"Так"</f>
        <v>Так</v>
      </c>
    </row>
    <row r="1271" spans="1:10" ht="105" x14ac:dyDescent="0.25">
      <c r="A1271" s="1" t="str">
        <f>"1339-2020/27"</f>
        <v>1339-2020/27</v>
      </c>
      <c r="B1271" s="1" t="str">
        <f t="shared" si="220"/>
        <v>26.02.2020</v>
      </c>
      <c r="C1271" s="1" t="str">
        <f t="shared" si="221"/>
        <v>Закрито</v>
      </c>
      <c r="D1271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271" s="1" t="str">
        <f>"Будівництво"</f>
        <v>Будівництво</v>
      </c>
      <c r="F127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271" s="1" t="str">
        <f>"10"</f>
        <v>10</v>
      </c>
      <c r="H1271" s="1" t="str">
        <f>"Результат"</f>
        <v>Результат</v>
      </c>
      <c r="I1271" s="1" t="str">
        <f t="shared" si="222"/>
        <v>Позитивний</v>
      </c>
      <c r="J1271" s="1" t="str">
        <f>"Ні"</f>
        <v>Ні</v>
      </c>
    </row>
    <row r="1272" spans="1:10" ht="135" x14ac:dyDescent="0.25">
      <c r="A1272" s="1" t="str">
        <f>"1326-2020/27"</f>
        <v>1326-2020/27</v>
      </c>
      <c r="B1272" s="1" t="str">
        <f t="shared" si="220"/>
        <v>26.02.2020</v>
      </c>
      <c r="C1272" s="1" t="str">
        <f t="shared" si="221"/>
        <v>Закрито</v>
      </c>
      <c r="D127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72" s="1" t="str">
        <f>"Земельні питання"</f>
        <v>Земельні питання</v>
      </c>
      <c r="F12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72" s="1" t="str">
        <f>"1"</f>
        <v>1</v>
      </c>
      <c r="H1272" s="1" t="str">
        <f>"Результат"</f>
        <v>Результат</v>
      </c>
      <c r="I1272" s="1" t="str">
        <f t="shared" si="222"/>
        <v>Позитивний</v>
      </c>
      <c r="J1272" s="1" t="str">
        <f>"Так"</f>
        <v>Так</v>
      </c>
    </row>
    <row r="1273" spans="1:10" ht="90" x14ac:dyDescent="0.25">
      <c r="A1273" s="1" t="str">
        <f>"1341-2020/27"</f>
        <v>1341-2020/27</v>
      </c>
      <c r="B1273" s="1" t="str">
        <f t="shared" si="220"/>
        <v>26.02.2020</v>
      </c>
      <c r="C1273" s="1" t="str">
        <f t="shared" si="221"/>
        <v>Закрито</v>
      </c>
      <c r="D127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273" s="1" t="str">
        <f>"Інші послуги"</f>
        <v>Інші послуги</v>
      </c>
      <c r="F127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273" s="1" t="str">
        <f>"5"</f>
        <v>5</v>
      </c>
      <c r="H1273" s="1" t="str">
        <f>"Результат"</f>
        <v>Результат</v>
      </c>
      <c r="I1273" s="1" t="str">
        <f t="shared" si="222"/>
        <v>Позитивний</v>
      </c>
      <c r="J1273" s="1" t="str">
        <f>"Ні"</f>
        <v>Ні</v>
      </c>
    </row>
    <row r="1274" spans="1:10" ht="135" x14ac:dyDescent="0.25">
      <c r="A1274" s="1" t="str">
        <f>"1309-2020/27"</f>
        <v>1309-2020/27</v>
      </c>
      <c r="B1274" s="1" t="str">
        <f t="shared" si="220"/>
        <v>26.02.2020</v>
      </c>
      <c r="C1274" s="1" t="str">
        <f t="shared" si="221"/>
        <v>Закрито</v>
      </c>
      <c r="D127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74" s="1" t="str">
        <f>"Земельні питання"</f>
        <v>Земельні питання</v>
      </c>
      <c r="F12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74" s="1" t="str">
        <f>"14"</f>
        <v>14</v>
      </c>
      <c r="H1274" s="1" t="str">
        <f>"Результат"</f>
        <v>Результат</v>
      </c>
      <c r="I1274" s="1" t="str">
        <f t="shared" si="222"/>
        <v>Позитивний</v>
      </c>
      <c r="J1274" s="1" t="str">
        <f>"Ні"</f>
        <v>Ні</v>
      </c>
    </row>
    <row r="1275" spans="1:10" ht="135" x14ac:dyDescent="0.25">
      <c r="A1275" s="1" t="str">
        <f>"1314-2020/27"</f>
        <v>1314-2020/27</v>
      </c>
      <c r="B1275" s="1" t="str">
        <f t="shared" si="220"/>
        <v>26.02.2020</v>
      </c>
      <c r="C1275" s="1" t="str">
        <f t="shared" si="221"/>
        <v>Закрито</v>
      </c>
      <c r="D127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75" s="1" t="str">
        <f>"Земельні питання"</f>
        <v>Земельні питання</v>
      </c>
      <c r="F12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75" s="1" t="str">
        <f>"14"</f>
        <v>14</v>
      </c>
      <c r="H1275" s="1" t="str">
        <f>"Результат"</f>
        <v>Результат</v>
      </c>
      <c r="I1275" s="1" t="str">
        <f t="shared" si="222"/>
        <v>Позитивний</v>
      </c>
      <c r="J1275" s="1" t="str">
        <f>"Ні"</f>
        <v>Ні</v>
      </c>
    </row>
    <row r="1276" spans="1:10" ht="135" x14ac:dyDescent="0.25">
      <c r="A1276" s="1" t="str">
        <f>"1312-2020/27"</f>
        <v>1312-2020/27</v>
      </c>
      <c r="B1276" s="1" t="str">
        <f t="shared" si="220"/>
        <v>26.02.2020</v>
      </c>
      <c r="C1276" s="1" t="str">
        <f t="shared" si="221"/>
        <v>Закрито</v>
      </c>
      <c r="D127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76" s="1" t="str">
        <f>"Земельні питання"</f>
        <v>Земельні питання</v>
      </c>
      <c r="F12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76" s="1" t="str">
        <f>"14"</f>
        <v>14</v>
      </c>
      <c r="H1276" s="1" t="str">
        <f>"Результат"</f>
        <v>Результат</v>
      </c>
      <c r="I1276" s="1" t="str">
        <f t="shared" si="222"/>
        <v>Позитивний</v>
      </c>
      <c r="J1276" s="1" t="str">
        <f>"Ні"</f>
        <v>Ні</v>
      </c>
    </row>
    <row r="1277" spans="1:10" ht="45" x14ac:dyDescent="0.25">
      <c r="A1277" s="1" t="str">
        <f>"1333-2020/27"</f>
        <v>1333-2020/27</v>
      </c>
      <c r="B1277" s="1" t="str">
        <f t="shared" si="220"/>
        <v>26.02.2020</v>
      </c>
      <c r="C1277" s="1" t="str">
        <f t="shared" si="221"/>
        <v>Закрито</v>
      </c>
      <c r="D1277" s="1" t="str">
        <f>"Реєстрація місця проживання особи"</f>
        <v>Реєстрація місця проживання особи</v>
      </c>
      <c r="E1277" s="1" t="str">
        <f>"Реєстрація місця проживання"</f>
        <v>Реєстрація місця проживання</v>
      </c>
      <c r="F1277" s="1" t="str">
        <f>"Відділ реєстрації Новокаховської міської ради"</f>
        <v>Відділ реєстрації Новокаховської міської ради</v>
      </c>
      <c r="G1277" s="1" t="str">
        <f>"1"</f>
        <v>1</v>
      </c>
      <c r="H1277" s="1" t="str">
        <f>"Результат"</f>
        <v>Результат</v>
      </c>
      <c r="I1277" s="1" t="str">
        <f t="shared" si="222"/>
        <v>Позитивний</v>
      </c>
      <c r="J1277" s="1" t="str">
        <f>"Так"</f>
        <v>Так</v>
      </c>
    </row>
    <row r="1278" spans="1:10" ht="135" x14ac:dyDescent="0.25">
      <c r="A1278" s="1" t="str">
        <f>"1304-2020/27"</f>
        <v>1304-2020/27</v>
      </c>
      <c r="B1278" s="1" t="str">
        <f t="shared" si="220"/>
        <v>26.02.2020</v>
      </c>
      <c r="C1278" s="1" t="str">
        <f t="shared" si="221"/>
        <v>Закрито</v>
      </c>
      <c r="D127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78" s="1" t="str">
        <f>"Земельні питання"</f>
        <v>Земельні питання</v>
      </c>
      <c r="F12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78" s="1" t="str">
        <f>"14"</f>
        <v>14</v>
      </c>
      <c r="H1278" s="1" t="str">
        <f>"Результат"</f>
        <v>Результат</v>
      </c>
      <c r="I1278" s="1" t="str">
        <f t="shared" si="222"/>
        <v>Позитивний</v>
      </c>
      <c r="J1278" s="1" t="str">
        <f>"Ні"</f>
        <v>Ні</v>
      </c>
    </row>
    <row r="1279" spans="1:10" ht="45" x14ac:dyDescent="0.25">
      <c r="A1279" s="1" t="str">
        <f>"1338-2020/27"</f>
        <v>1338-2020/27</v>
      </c>
      <c r="B1279" s="1" t="str">
        <f t="shared" si="220"/>
        <v>26.02.2020</v>
      </c>
      <c r="C1279" s="1" t="str">
        <f t="shared" si="221"/>
        <v>Закрито</v>
      </c>
      <c r="D1279" s="1" t="str">
        <f>"Реєстрація місця проживання особи"</f>
        <v>Реєстрація місця проживання особи</v>
      </c>
      <c r="E1279" s="1" t="str">
        <f>"Реєстрація місця проживання"</f>
        <v>Реєстрація місця проживання</v>
      </c>
      <c r="F1279" s="1" t="str">
        <f>"Відділ реєстрації Новокаховської міської ради"</f>
        <v>Відділ реєстрації Новокаховської міської ради</v>
      </c>
      <c r="G1279" s="1" t="str">
        <f>"1"</f>
        <v>1</v>
      </c>
      <c r="H1279" s="1" t="str">
        <f>"Результат"</f>
        <v>Результат</v>
      </c>
      <c r="I1279" s="1" t="str">
        <f t="shared" si="222"/>
        <v>Позитивний</v>
      </c>
      <c r="J1279" s="1" t="str">
        <f>"Так"</f>
        <v>Так</v>
      </c>
    </row>
    <row r="1280" spans="1:10" ht="90" x14ac:dyDescent="0.25">
      <c r="A1280" s="1" t="str">
        <f>"1320-2020/27"</f>
        <v>1320-2020/27</v>
      </c>
      <c r="B1280" s="1" t="str">
        <f t="shared" si="220"/>
        <v>26.02.2020</v>
      </c>
      <c r="C1280" s="1" t="str">
        <f t="shared" si="221"/>
        <v>Закрито</v>
      </c>
      <c r="D128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280" s="1" t="str">
        <f>"Інші послуги"</f>
        <v>Інші послуги</v>
      </c>
      <c r="F128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280" s="1" t="str">
        <f>"5"</f>
        <v>5</v>
      </c>
      <c r="H1280" s="1" t="str">
        <f>"Результат"</f>
        <v>Результат</v>
      </c>
      <c r="I1280" s="1" t="str">
        <f t="shared" ref="I1280:I1311" si="228">"Позитивний"</f>
        <v>Позитивний</v>
      </c>
      <c r="J1280" s="1" t="str">
        <f>"Ні"</f>
        <v>Ні</v>
      </c>
    </row>
    <row r="1281" spans="1:10" ht="90" x14ac:dyDescent="0.25">
      <c r="A1281" s="1" t="str">
        <f>"1328-2020/27"</f>
        <v>1328-2020/27</v>
      </c>
      <c r="B1281" s="1" t="str">
        <f t="shared" si="220"/>
        <v>26.02.2020</v>
      </c>
      <c r="C1281" s="1" t="str">
        <f t="shared" si="221"/>
        <v>Закрито</v>
      </c>
      <c r="D128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281" s="1" t="str">
        <f>"Інші послуги"</f>
        <v>Інші послуги</v>
      </c>
      <c r="F128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281" s="1" t="str">
        <f>"5"</f>
        <v>5</v>
      </c>
      <c r="H1281" s="1" t="str">
        <f>"Результат"</f>
        <v>Результат</v>
      </c>
      <c r="I1281" s="1" t="str">
        <f t="shared" si="228"/>
        <v>Позитивний</v>
      </c>
      <c r="J1281" s="1" t="str">
        <f>"Ні"</f>
        <v>Ні</v>
      </c>
    </row>
    <row r="1282" spans="1:10" ht="45" x14ac:dyDescent="0.25">
      <c r="A1282" s="1" t="str">
        <f>"1306-2020/27"</f>
        <v>1306-2020/27</v>
      </c>
      <c r="B1282" s="1" t="str">
        <f t="shared" si="220"/>
        <v>26.02.2020</v>
      </c>
      <c r="C1282" s="1" t="str">
        <f t="shared" si="221"/>
        <v>Закрито</v>
      </c>
      <c r="D1282" s="1" t="str">
        <f>"Зняття з реєстрації місця проживання"</f>
        <v>Зняття з реєстрації місця проживання</v>
      </c>
      <c r="E1282" s="1" t="str">
        <f>"Реєстрація місця проживання"</f>
        <v>Реєстрація місця проживання</v>
      </c>
      <c r="F1282" s="1" t="str">
        <f>"Відділ реєстрації Новокаховської міської ради"</f>
        <v>Відділ реєстрації Новокаховської міської ради</v>
      </c>
      <c r="G1282" s="1" t="str">
        <f>"1"</f>
        <v>1</v>
      </c>
      <c r="H1282" s="1" t="str">
        <f>"Результат"</f>
        <v>Результат</v>
      </c>
      <c r="I1282" s="1" t="str">
        <f t="shared" si="228"/>
        <v>Позитивний</v>
      </c>
      <c r="J1282" s="1" t="str">
        <f>"Так"</f>
        <v>Так</v>
      </c>
    </row>
    <row r="1283" spans="1:10" ht="45" x14ac:dyDescent="0.25">
      <c r="A1283" s="1" t="str">
        <f>"1342-2020/27"</f>
        <v>1342-2020/27</v>
      </c>
      <c r="B1283" s="1" t="str">
        <f t="shared" si="220"/>
        <v>26.02.2020</v>
      </c>
      <c r="C1283" s="1" t="str">
        <f t="shared" si="221"/>
        <v>Закрито</v>
      </c>
      <c r="D1283" s="1" t="str">
        <f>"Реєстрація місця проживання особи"</f>
        <v>Реєстрація місця проживання особи</v>
      </c>
      <c r="E1283" s="1" t="str">
        <f>"Реєстрація місця проживання"</f>
        <v>Реєстрація місця проживання</v>
      </c>
      <c r="F1283" s="1" t="str">
        <f>"Відділ реєстрації Новокаховської міської ради"</f>
        <v>Відділ реєстрації Новокаховської міської ради</v>
      </c>
      <c r="G1283" s="1" t="str">
        <f>"1"</f>
        <v>1</v>
      </c>
      <c r="H1283" s="1" t="str">
        <f>"Результат"</f>
        <v>Результат</v>
      </c>
      <c r="I1283" s="1" t="str">
        <f t="shared" si="228"/>
        <v>Позитивний</v>
      </c>
      <c r="J1283" s="1" t="str">
        <f>"Так"</f>
        <v>Так</v>
      </c>
    </row>
    <row r="1284" spans="1:10" ht="45" x14ac:dyDescent="0.25">
      <c r="A1284" s="1" t="str">
        <f>"1321-2020/27"</f>
        <v>1321-2020/27</v>
      </c>
      <c r="B1284" s="1" t="str">
        <f t="shared" si="220"/>
        <v>26.02.2020</v>
      </c>
      <c r="C1284" s="1" t="str">
        <f t="shared" si="221"/>
        <v>Закрито</v>
      </c>
      <c r="D1284" s="1" t="str">
        <f>"Зняття з реєстрації місця проживання"</f>
        <v>Зняття з реєстрації місця проживання</v>
      </c>
      <c r="E1284" s="1" t="str">
        <f>"Реєстрація місця проживання"</f>
        <v>Реєстрація місця проживання</v>
      </c>
      <c r="F1284" s="1" t="str">
        <f>"Відділ реєстрації Новокаховської міської ради"</f>
        <v>Відділ реєстрації Новокаховської міської ради</v>
      </c>
      <c r="G1284" s="1" t="str">
        <f>"1"</f>
        <v>1</v>
      </c>
      <c r="H1284" s="1" t="str">
        <f>"Результат"</f>
        <v>Результат</v>
      </c>
      <c r="I1284" s="1" t="str">
        <f t="shared" si="228"/>
        <v>Позитивний</v>
      </c>
      <c r="J1284" s="1" t="str">
        <f>"Так"</f>
        <v>Так</v>
      </c>
    </row>
    <row r="1285" spans="1:10" ht="45" x14ac:dyDescent="0.25">
      <c r="A1285" s="1" t="str">
        <f>"1332-2020/27"</f>
        <v>1332-2020/27</v>
      </c>
      <c r="B1285" s="1" t="str">
        <f t="shared" si="220"/>
        <v>26.02.2020</v>
      </c>
      <c r="C1285" s="1" t="str">
        <f t="shared" si="221"/>
        <v>Закрито</v>
      </c>
      <c r="D1285" s="1" t="str">
        <f>"Реєстрація місця проживання особи"</f>
        <v>Реєстрація місця проживання особи</v>
      </c>
      <c r="E1285" s="1" t="str">
        <f>"Реєстрація місця проживання"</f>
        <v>Реєстрація місця проживання</v>
      </c>
      <c r="F1285" s="1" t="str">
        <f>"Відділ реєстрації Новокаховської міської ради"</f>
        <v>Відділ реєстрації Новокаховської міської ради</v>
      </c>
      <c r="G1285" s="1" t="str">
        <f>"1"</f>
        <v>1</v>
      </c>
      <c r="H1285" s="1" t="str">
        <f>"Результат"</f>
        <v>Результат</v>
      </c>
      <c r="I1285" s="1" t="str">
        <f t="shared" si="228"/>
        <v>Позитивний</v>
      </c>
      <c r="J1285" s="1" t="str">
        <f>"Так"</f>
        <v>Так</v>
      </c>
    </row>
    <row r="1286" spans="1:10" ht="135" x14ac:dyDescent="0.25">
      <c r="A1286" s="1" t="str">
        <f>"1316-2020/27"</f>
        <v>1316-2020/27</v>
      </c>
      <c r="B1286" s="1" t="str">
        <f t="shared" si="220"/>
        <v>26.02.2020</v>
      </c>
      <c r="C1286" s="1" t="str">
        <f t="shared" si="221"/>
        <v>Закрито</v>
      </c>
      <c r="D128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86" s="1" t="str">
        <f>"Земельні питання"</f>
        <v>Земельні питання</v>
      </c>
      <c r="F128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86" s="1" t="str">
        <f>"14"</f>
        <v>14</v>
      </c>
      <c r="H1286" s="1" t="str">
        <f>"Результат"</f>
        <v>Результат</v>
      </c>
      <c r="I1286" s="1" t="str">
        <f t="shared" si="228"/>
        <v>Позитивний</v>
      </c>
      <c r="J1286" s="1" t="str">
        <f>"Ні"</f>
        <v>Ні</v>
      </c>
    </row>
    <row r="1287" spans="1:10" ht="135" x14ac:dyDescent="0.25">
      <c r="A1287" s="1" t="str">
        <f>"1323-2020/27"</f>
        <v>1323-2020/27</v>
      </c>
      <c r="B1287" s="1" t="str">
        <f t="shared" si="220"/>
        <v>26.02.2020</v>
      </c>
      <c r="C1287" s="1" t="str">
        <f t="shared" si="221"/>
        <v>Закрито</v>
      </c>
      <c r="D1287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287" s="1" t="str">
        <f>"Земельні питання"</f>
        <v>Земельні питання</v>
      </c>
      <c r="F12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87" s="1" t="str">
        <f>"14"</f>
        <v>14</v>
      </c>
      <c r="H1287" s="1" t="str">
        <f>"Результат"</f>
        <v>Результат</v>
      </c>
      <c r="I1287" s="1" t="str">
        <f t="shared" si="228"/>
        <v>Позитивний</v>
      </c>
      <c r="J1287" s="1" t="str">
        <f>"Ні"</f>
        <v>Ні</v>
      </c>
    </row>
    <row r="1288" spans="1:10" ht="135" x14ac:dyDescent="0.25">
      <c r="A1288" s="1" t="str">
        <f>"1362-2020/27"</f>
        <v>1362-2020/27</v>
      </c>
      <c r="B1288" s="1" t="str">
        <f t="shared" ref="B1288:B1327" si="229">"27.02.2020"</f>
        <v>27.02.2020</v>
      </c>
      <c r="C1288" s="1" t="str">
        <f t="shared" si="221"/>
        <v>Закрито</v>
      </c>
      <c r="D12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88" s="1" t="str">
        <f>"Земельні питання"</f>
        <v>Земельні питання</v>
      </c>
      <c r="F12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88" s="1" t="str">
        <f>"3"</f>
        <v>3</v>
      </c>
      <c r="H1288" s="1" t="str">
        <f>"Результат"</f>
        <v>Результат</v>
      </c>
      <c r="I1288" s="1" t="str">
        <f t="shared" si="228"/>
        <v>Позитивний</v>
      </c>
      <c r="J1288" s="1" t="str">
        <f>"Ні"</f>
        <v>Ні</v>
      </c>
    </row>
    <row r="1289" spans="1:10" ht="45" x14ac:dyDescent="0.25">
      <c r="A1289" s="1" t="str">
        <f>"1369-2020/27"</f>
        <v>1369-2020/27</v>
      </c>
      <c r="B1289" s="1" t="str">
        <f t="shared" si="229"/>
        <v>27.02.2020</v>
      </c>
      <c r="C1289" s="1" t="str">
        <f t="shared" si="221"/>
        <v>Закрито</v>
      </c>
      <c r="D1289" s="1" t="str">
        <f>"Реєстрація місця проживання особи"</f>
        <v>Реєстрація місця проживання особи</v>
      </c>
      <c r="E1289" s="1" t="str">
        <f>"Реєстрація місця проживання"</f>
        <v>Реєстрація місця проживання</v>
      </c>
      <c r="F1289" s="1" t="str">
        <f>"Відділ реєстрації Новокаховської міської ради"</f>
        <v>Відділ реєстрації Новокаховської міської ради</v>
      </c>
      <c r="G1289" s="1" t="str">
        <f>"1"</f>
        <v>1</v>
      </c>
      <c r="H1289" s="1" t="str">
        <f>"Результат"</f>
        <v>Результат</v>
      </c>
      <c r="I1289" s="1" t="str">
        <f t="shared" si="228"/>
        <v>Позитивний</v>
      </c>
      <c r="J1289" s="1" t="str">
        <f>"Так"</f>
        <v>Так</v>
      </c>
    </row>
    <row r="1290" spans="1:10" ht="45" x14ac:dyDescent="0.25">
      <c r="A1290" s="1" t="str">
        <f>"1352-2020/27"</f>
        <v>1352-2020/27</v>
      </c>
      <c r="B1290" s="1" t="str">
        <f t="shared" si="229"/>
        <v>27.02.2020</v>
      </c>
      <c r="C1290" s="1" t="str">
        <f t="shared" si="221"/>
        <v>Закрито</v>
      </c>
      <c r="D1290" s="1" t="str">
        <f>"Реєстрація місця проживання особи"</f>
        <v>Реєстрація місця проживання особи</v>
      </c>
      <c r="E1290" s="1" t="str">
        <f>"Реєстрація місця проживання"</f>
        <v>Реєстрація місця проживання</v>
      </c>
      <c r="F1290" s="1" t="str">
        <f>"Відділ реєстрації Новокаховської міської ради"</f>
        <v>Відділ реєстрації Новокаховської міської ради</v>
      </c>
      <c r="G1290" s="1" t="str">
        <f>"1"</f>
        <v>1</v>
      </c>
      <c r="H1290" s="1" t="str">
        <f>"Результат"</f>
        <v>Результат</v>
      </c>
      <c r="I1290" s="1" t="str">
        <f t="shared" si="228"/>
        <v>Позитивний</v>
      </c>
      <c r="J1290" s="1" t="str">
        <f>"Так"</f>
        <v>Так</v>
      </c>
    </row>
    <row r="1291" spans="1:10" ht="45" x14ac:dyDescent="0.25">
      <c r="A1291" s="1" t="str">
        <f>"1381-2020/27"</f>
        <v>1381-2020/27</v>
      </c>
      <c r="B1291" s="1" t="str">
        <f t="shared" si="229"/>
        <v>27.02.2020</v>
      </c>
      <c r="C1291" s="1" t="str">
        <f t="shared" si="221"/>
        <v>Закрито</v>
      </c>
      <c r="D1291" s="1" t="str">
        <f>"Видача дозволу на порушення об’єктів благоустрою"</f>
        <v>Видача дозволу на порушення об’єктів благоустрою</v>
      </c>
      <c r="E1291" s="1" t="str">
        <f>"Об’єкти благоустрою"</f>
        <v>Об’єкти благоустрою</v>
      </c>
      <c r="F1291" s="1" t="str">
        <f>"Виконавчий комітет Новокаховської міської ради"</f>
        <v>Виконавчий комітет Новокаховської міської ради</v>
      </c>
      <c r="G1291" s="1" t="str">
        <f>"10"</f>
        <v>10</v>
      </c>
      <c r="H1291" s="1" t="str">
        <f>"Результат"</f>
        <v>Результат</v>
      </c>
      <c r="I1291" s="1" t="str">
        <f t="shared" si="228"/>
        <v>Позитивний</v>
      </c>
      <c r="J1291" s="1" t="str">
        <f>"Ні"</f>
        <v>Ні</v>
      </c>
    </row>
    <row r="1292" spans="1:10" ht="135" x14ac:dyDescent="0.25">
      <c r="A1292" s="1" t="str">
        <f>"1349-2020/27"</f>
        <v>1349-2020/27</v>
      </c>
      <c r="B1292" s="1" t="str">
        <f t="shared" si="229"/>
        <v>27.02.2020</v>
      </c>
      <c r="C1292" s="1" t="str">
        <f t="shared" si="221"/>
        <v>Закрито</v>
      </c>
      <c r="D129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92" s="1" t="str">
        <f t="shared" ref="E1292:E1297" si="230">"Земельні питання"</f>
        <v>Земельні питання</v>
      </c>
      <c r="F12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92" s="1" t="str">
        <f>"14"</f>
        <v>14</v>
      </c>
      <c r="H1292" s="1" t="str">
        <f>"Результат"</f>
        <v>Результат</v>
      </c>
      <c r="I1292" s="1" t="str">
        <f t="shared" si="228"/>
        <v>Позитивний</v>
      </c>
      <c r="J1292" s="1" t="str">
        <f>"Ні"</f>
        <v>Ні</v>
      </c>
    </row>
    <row r="1293" spans="1:10" ht="135" x14ac:dyDescent="0.25">
      <c r="A1293" s="1" t="str">
        <f>"1380-2020/27"</f>
        <v>1380-2020/27</v>
      </c>
      <c r="B1293" s="1" t="str">
        <f t="shared" si="229"/>
        <v>27.02.2020</v>
      </c>
      <c r="C1293" s="1" t="str">
        <f t="shared" si="221"/>
        <v>Закрито</v>
      </c>
      <c r="D129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93" s="1" t="str">
        <f t="shared" si="230"/>
        <v>Земельні питання</v>
      </c>
      <c r="F12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93" s="1" t="str">
        <f>"1"</f>
        <v>1</v>
      </c>
      <c r="H1293" s="1" t="str">
        <f>"Результат"</f>
        <v>Результат</v>
      </c>
      <c r="I1293" s="1" t="str">
        <f t="shared" si="228"/>
        <v>Позитивний</v>
      </c>
      <c r="J1293" s="1" t="str">
        <f>"Так"</f>
        <v>Так</v>
      </c>
    </row>
    <row r="1294" spans="1:10" ht="105" x14ac:dyDescent="0.25">
      <c r="A1294" s="1" t="str">
        <f>"1366-2020/27"</f>
        <v>1366-2020/27</v>
      </c>
      <c r="B1294" s="1" t="str">
        <f t="shared" si="229"/>
        <v>27.02.2020</v>
      </c>
      <c r="C1294" s="1" t="str">
        <f t="shared" si="221"/>
        <v>Закрито</v>
      </c>
      <c r="D129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294" s="1" t="str">
        <f t="shared" si="230"/>
        <v>Земельні питання</v>
      </c>
      <c r="F129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294" s="1" t="str">
        <f>"1"</f>
        <v>1</v>
      </c>
      <c r="H1294" s="1" t="str">
        <f>"Результат"</f>
        <v>Результат</v>
      </c>
      <c r="I1294" s="1" t="str">
        <f t="shared" si="228"/>
        <v>Позитивний</v>
      </c>
      <c r="J1294" s="1" t="str">
        <f>"Так"</f>
        <v>Так</v>
      </c>
    </row>
    <row r="1295" spans="1:10" ht="135" x14ac:dyDescent="0.25">
      <c r="A1295" s="1" t="str">
        <f>"1355-2020/27"</f>
        <v>1355-2020/27</v>
      </c>
      <c r="B1295" s="1" t="str">
        <f t="shared" si="229"/>
        <v>27.02.2020</v>
      </c>
      <c r="C1295" s="1" t="str">
        <f t="shared" si="221"/>
        <v>Закрито</v>
      </c>
      <c r="D129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95" s="1" t="str">
        <f t="shared" si="230"/>
        <v>Земельні питання</v>
      </c>
      <c r="F12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95" s="1" t="str">
        <f>"3"</f>
        <v>3</v>
      </c>
      <c r="H1295" s="1" t="str">
        <f>"Результат"</f>
        <v>Результат</v>
      </c>
      <c r="I1295" s="1" t="str">
        <f t="shared" si="228"/>
        <v>Позитивний</v>
      </c>
      <c r="J1295" s="1" t="str">
        <f>"Ні"</f>
        <v>Ні</v>
      </c>
    </row>
    <row r="1296" spans="1:10" ht="135" x14ac:dyDescent="0.25">
      <c r="A1296" s="1" t="str">
        <f>"1348-2020/27"</f>
        <v>1348-2020/27</v>
      </c>
      <c r="B1296" s="1" t="str">
        <f t="shared" si="229"/>
        <v>27.02.2020</v>
      </c>
      <c r="C1296" s="1" t="str">
        <f t="shared" si="221"/>
        <v>Закрито</v>
      </c>
      <c r="D129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96" s="1" t="str">
        <f t="shared" si="230"/>
        <v>Земельні питання</v>
      </c>
      <c r="F12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96" s="1" t="str">
        <f>"14"</f>
        <v>14</v>
      </c>
      <c r="H1296" s="1" t="str">
        <f>"Результат"</f>
        <v>Результат</v>
      </c>
      <c r="I1296" s="1" t="str">
        <f t="shared" si="228"/>
        <v>Позитивний</v>
      </c>
      <c r="J1296" s="1" t="str">
        <f>"Ні"</f>
        <v>Ні</v>
      </c>
    </row>
    <row r="1297" spans="1:10" ht="135" x14ac:dyDescent="0.25">
      <c r="A1297" s="1" t="str">
        <f>"1354-2020/27"</f>
        <v>1354-2020/27</v>
      </c>
      <c r="B1297" s="1" t="str">
        <f t="shared" si="229"/>
        <v>27.02.2020</v>
      </c>
      <c r="C1297" s="1" t="str">
        <f t="shared" si="221"/>
        <v>Закрито</v>
      </c>
      <c r="D12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297" s="1" t="str">
        <f t="shared" si="230"/>
        <v>Земельні питання</v>
      </c>
      <c r="F12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97" s="1" t="str">
        <f>"3"</f>
        <v>3</v>
      </c>
      <c r="H1297" s="1" t="str">
        <f>"Результат"</f>
        <v>Результат</v>
      </c>
      <c r="I1297" s="1" t="str">
        <f t="shared" si="228"/>
        <v>Позитивний</v>
      </c>
      <c r="J1297" s="1" t="str">
        <f>"Ні"</f>
        <v>Ні</v>
      </c>
    </row>
    <row r="1298" spans="1:10" ht="45" x14ac:dyDescent="0.25">
      <c r="A1298" s="1" t="str">
        <f>"1350-2020/27"</f>
        <v>1350-2020/27</v>
      </c>
      <c r="B1298" s="1" t="str">
        <f t="shared" si="229"/>
        <v>27.02.2020</v>
      </c>
      <c r="C1298" s="1" t="str">
        <f t="shared" si="221"/>
        <v>Закрито</v>
      </c>
      <c r="D1298" s="1" t="str">
        <f>"Зняття з реєстрації місця проживання"</f>
        <v>Зняття з реєстрації місця проживання</v>
      </c>
      <c r="E1298" s="1" t="str">
        <f>"Реєстрація місця проживання"</f>
        <v>Реєстрація місця проживання</v>
      </c>
      <c r="F1298" s="1" t="str">
        <f>"Відділ реєстрації Новокаховської міської ради"</f>
        <v>Відділ реєстрації Новокаховської міської ради</v>
      </c>
      <c r="G1298" s="1" t="str">
        <f>"1"</f>
        <v>1</v>
      </c>
      <c r="H1298" s="1" t="str">
        <f>"Результат"</f>
        <v>Результат</v>
      </c>
      <c r="I1298" s="1" t="str">
        <f t="shared" si="228"/>
        <v>Позитивний</v>
      </c>
      <c r="J1298" s="1" t="str">
        <f>"Так"</f>
        <v>Так</v>
      </c>
    </row>
    <row r="1299" spans="1:10" ht="135" x14ac:dyDescent="0.25">
      <c r="A1299" s="1" t="str">
        <f>"1343-2020/27"</f>
        <v>1343-2020/27</v>
      </c>
      <c r="B1299" s="1" t="str">
        <f t="shared" si="229"/>
        <v>27.02.2020</v>
      </c>
      <c r="C1299" s="1" t="str">
        <f t="shared" si="221"/>
        <v>Закрито</v>
      </c>
      <c r="D129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299" s="1" t="str">
        <f>"Земельні питання"</f>
        <v>Земельні питання</v>
      </c>
      <c r="F12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299" s="1" t="str">
        <f>"14"</f>
        <v>14</v>
      </c>
      <c r="H1299" s="1" t="str">
        <f>"Результат"</f>
        <v>Результат</v>
      </c>
      <c r="I1299" s="1" t="str">
        <f t="shared" si="228"/>
        <v>Позитивний</v>
      </c>
      <c r="J1299" s="1" t="str">
        <f>"Ні"</f>
        <v>Ні</v>
      </c>
    </row>
    <row r="1300" spans="1:10" ht="45" x14ac:dyDescent="0.25">
      <c r="A1300" s="1" t="str">
        <f>"1353-2020/27"</f>
        <v>1353-2020/27</v>
      </c>
      <c r="B1300" s="1" t="str">
        <f t="shared" si="229"/>
        <v>27.02.2020</v>
      </c>
      <c r="C1300" s="1" t="str">
        <f t="shared" si="221"/>
        <v>Закрито</v>
      </c>
      <c r="D1300" s="1" t="str">
        <f>"Реєстрація місця проживання особи"</f>
        <v>Реєстрація місця проживання особи</v>
      </c>
      <c r="E1300" s="1" t="str">
        <f>"Реєстрація місця проживання"</f>
        <v>Реєстрація місця проживання</v>
      </c>
      <c r="F1300" s="1" t="str">
        <f>"Відділ реєстрації Новокаховської міської ради"</f>
        <v>Відділ реєстрації Новокаховської міської ради</v>
      </c>
      <c r="G1300" s="1" t="str">
        <f>"1"</f>
        <v>1</v>
      </c>
      <c r="H1300" s="1" t="str">
        <f>"Результат"</f>
        <v>Результат</v>
      </c>
      <c r="I1300" s="1" t="str">
        <f t="shared" si="228"/>
        <v>Позитивний</v>
      </c>
      <c r="J1300" s="1" t="str">
        <f>"Так"</f>
        <v>Так</v>
      </c>
    </row>
    <row r="1301" spans="1:10" ht="45" x14ac:dyDescent="0.25">
      <c r="A1301" s="1" t="str">
        <f>"1351-2020/27"</f>
        <v>1351-2020/27</v>
      </c>
      <c r="B1301" s="1" t="str">
        <f t="shared" si="229"/>
        <v>27.02.2020</v>
      </c>
      <c r="C1301" s="1" t="str">
        <f t="shared" si="221"/>
        <v>Закрито</v>
      </c>
      <c r="D1301" s="1" t="str">
        <f>"Зняття з реєстрації місця проживання"</f>
        <v>Зняття з реєстрації місця проживання</v>
      </c>
      <c r="E1301" s="1" t="str">
        <f>"Реєстрація місця проживання"</f>
        <v>Реєстрація місця проживання</v>
      </c>
      <c r="F1301" s="1" t="str">
        <f>"Відділ реєстрації Новокаховської міської ради"</f>
        <v>Відділ реєстрації Новокаховської міської ради</v>
      </c>
      <c r="G1301" s="1" t="str">
        <f>"1"</f>
        <v>1</v>
      </c>
      <c r="H1301" s="1" t="str">
        <f>"Результат"</f>
        <v>Результат</v>
      </c>
      <c r="I1301" s="1" t="str">
        <f t="shared" si="228"/>
        <v>Позитивний</v>
      </c>
      <c r="J1301" s="1" t="str">
        <f>"Так"</f>
        <v>Так</v>
      </c>
    </row>
    <row r="1302" spans="1:10" ht="135" x14ac:dyDescent="0.25">
      <c r="A1302" s="1" t="str">
        <f>"1356-2020/27"</f>
        <v>1356-2020/27</v>
      </c>
      <c r="B1302" s="1" t="str">
        <f t="shared" si="229"/>
        <v>27.02.2020</v>
      </c>
      <c r="C1302" s="1" t="str">
        <f t="shared" si="221"/>
        <v>Закрито</v>
      </c>
      <c r="D13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02" s="1" t="str">
        <f>"Земельні питання"</f>
        <v>Земельні питання</v>
      </c>
      <c r="F13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02" s="1" t="str">
        <f>"3"</f>
        <v>3</v>
      </c>
      <c r="H1302" s="1" t="str">
        <f>"Результат"</f>
        <v>Результат</v>
      </c>
      <c r="I1302" s="1" t="str">
        <f t="shared" si="228"/>
        <v>Позитивний</v>
      </c>
      <c r="J1302" s="1" t="str">
        <f>"Ні"</f>
        <v>Ні</v>
      </c>
    </row>
    <row r="1303" spans="1:10" ht="45" x14ac:dyDescent="0.25">
      <c r="A1303" s="1" t="str">
        <f>"1370-2020/27"</f>
        <v>1370-2020/27</v>
      </c>
      <c r="B1303" s="1" t="str">
        <f t="shared" si="229"/>
        <v>27.02.2020</v>
      </c>
      <c r="C1303" s="1" t="str">
        <f t="shared" si="221"/>
        <v>Закрито</v>
      </c>
      <c r="D1303" s="1" t="str">
        <f>"Реєстрація місця проживання особи"</f>
        <v>Реєстрація місця проживання особи</v>
      </c>
      <c r="E1303" s="1" t="str">
        <f>"Реєстрація місця проживання"</f>
        <v>Реєстрація місця проживання</v>
      </c>
      <c r="F1303" s="1" t="str">
        <f>"Відділ реєстрації Новокаховської міської ради"</f>
        <v>Відділ реєстрації Новокаховської міської ради</v>
      </c>
      <c r="G1303" s="1" t="str">
        <f>"1"</f>
        <v>1</v>
      </c>
      <c r="H1303" s="1" t="str">
        <f>"Результат"</f>
        <v>Результат</v>
      </c>
      <c r="I1303" s="1" t="str">
        <f t="shared" si="228"/>
        <v>Позитивний</v>
      </c>
      <c r="J1303" s="1" t="str">
        <f>"Так"</f>
        <v>Так</v>
      </c>
    </row>
    <row r="1304" spans="1:10" ht="45" x14ac:dyDescent="0.25">
      <c r="A1304" s="1" t="str">
        <f>"1375-2020/27"</f>
        <v>1375-2020/27</v>
      </c>
      <c r="B1304" s="1" t="str">
        <f t="shared" si="229"/>
        <v>27.02.2020</v>
      </c>
      <c r="C1304" s="1" t="str">
        <f t="shared" si="221"/>
        <v>Закрито</v>
      </c>
      <c r="D1304" s="1" t="str">
        <f>"Зняття з реєстрації місця проживання"</f>
        <v>Зняття з реєстрації місця проживання</v>
      </c>
      <c r="E1304" s="1" t="str">
        <f>"Реєстрація місця проживання"</f>
        <v>Реєстрація місця проживання</v>
      </c>
      <c r="F1304" s="1" t="str">
        <f>"Відділ реєстрації Новокаховської міської ради"</f>
        <v>Відділ реєстрації Новокаховської міської ради</v>
      </c>
      <c r="G1304" s="1" t="str">
        <f>"1"</f>
        <v>1</v>
      </c>
      <c r="H1304" s="1" t="str">
        <f>"Результат"</f>
        <v>Результат</v>
      </c>
      <c r="I1304" s="1" t="str">
        <f t="shared" si="228"/>
        <v>Позитивний</v>
      </c>
      <c r="J1304" s="1" t="str">
        <f>"Так"</f>
        <v>Так</v>
      </c>
    </row>
    <row r="1305" spans="1:10" ht="135" x14ac:dyDescent="0.25">
      <c r="A1305" s="1" t="str">
        <f>"1346-2020/27"</f>
        <v>1346-2020/27</v>
      </c>
      <c r="B1305" s="1" t="str">
        <f t="shared" si="229"/>
        <v>27.02.2020</v>
      </c>
      <c r="C1305" s="1" t="str">
        <f t="shared" si="221"/>
        <v>Закрито</v>
      </c>
      <c r="D130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05" s="1" t="str">
        <f>"Земельні питання"</f>
        <v>Земельні питання</v>
      </c>
      <c r="F13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05" s="1" t="str">
        <f>"14"</f>
        <v>14</v>
      </c>
      <c r="H1305" s="1" t="str">
        <f>"Результат"</f>
        <v>Результат</v>
      </c>
      <c r="I1305" s="1" t="str">
        <f t="shared" si="228"/>
        <v>Позитивний</v>
      </c>
      <c r="J1305" s="1" t="str">
        <f>"Ні"</f>
        <v>Ні</v>
      </c>
    </row>
    <row r="1306" spans="1:10" ht="45" x14ac:dyDescent="0.25">
      <c r="A1306" s="1" t="str">
        <f>"1382-2020/27"</f>
        <v>1382-2020/27</v>
      </c>
      <c r="B1306" s="1" t="str">
        <f t="shared" si="229"/>
        <v>27.02.2020</v>
      </c>
      <c r="C1306" s="1" t="str">
        <f t="shared" si="221"/>
        <v>Закрито</v>
      </c>
      <c r="D1306" s="1" t="str">
        <f>"Видача дозволу на порушення об’єктів благоустрою"</f>
        <v>Видача дозволу на порушення об’єктів благоустрою</v>
      </c>
      <c r="E1306" s="1" t="str">
        <f>"Об’єкти благоустрою"</f>
        <v>Об’єкти благоустрою</v>
      </c>
      <c r="F1306" s="1" t="str">
        <f>"Виконавчий комітет Новокаховської міської ради"</f>
        <v>Виконавчий комітет Новокаховської міської ради</v>
      </c>
      <c r="G1306" s="1" t="str">
        <f>"10"</f>
        <v>10</v>
      </c>
      <c r="H1306" s="1" t="str">
        <f>"Результат"</f>
        <v>Результат</v>
      </c>
      <c r="I1306" s="1" t="str">
        <f t="shared" si="228"/>
        <v>Позитивний</v>
      </c>
      <c r="J1306" s="1" t="str">
        <f>"Ні"</f>
        <v>Ні</v>
      </c>
    </row>
    <row r="1307" spans="1:10" ht="135" x14ac:dyDescent="0.25">
      <c r="A1307" s="1" t="str">
        <f>"1379-2020/27"</f>
        <v>1379-2020/27</v>
      </c>
      <c r="B1307" s="1" t="str">
        <f t="shared" si="229"/>
        <v>27.02.2020</v>
      </c>
      <c r="C1307" s="1" t="str">
        <f t="shared" si="221"/>
        <v>Закрито</v>
      </c>
      <c r="D130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07" s="1" t="str">
        <f>"Земельні питання"</f>
        <v>Земельні питання</v>
      </c>
      <c r="F13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07" s="1" t="str">
        <f>"1"</f>
        <v>1</v>
      </c>
      <c r="H1307" s="1" t="str">
        <f>"Результат"</f>
        <v>Результат</v>
      </c>
      <c r="I1307" s="1" t="str">
        <f t="shared" si="228"/>
        <v>Позитивний</v>
      </c>
      <c r="J1307" s="1" t="str">
        <f>"Так"</f>
        <v>Так</v>
      </c>
    </row>
    <row r="1308" spans="1:10" ht="135" x14ac:dyDescent="0.25">
      <c r="A1308" s="1" t="str">
        <f>"1374-2020/27"</f>
        <v>1374-2020/27</v>
      </c>
      <c r="B1308" s="1" t="str">
        <f t="shared" si="229"/>
        <v>27.02.2020</v>
      </c>
      <c r="C1308" s="1" t="str">
        <f t="shared" si="221"/>
        <v>Закрито</v>
      </c>
      <c r="D130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08" s="1" t="str">
        <f>"Земельні питання"</f>
        <v>Земельні питання</v>
      </c>
      <c r="F13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08" s="1" t="str">
        <f>"1"</f>
        <v>1</v>
      </c>
      <c r="H1308" s="1" t="str">
        <f>"Результат"</f>
        <v>Результат</v>
      </c>
      <c r="I1308" s="1" t="str">
        <f t="shared" si="228"/>
        <v>Позитивний</v>
      </c>
      <c r="J1308" s="1" t="str">
        <f>"Так"</f>
        <v>Так</v>
      </c>
    </row>
    <row r="1309" spans="1:10" ht="45" x14ac:dyDescent="0.25">
      <c r="A1309" s="1" t="str">
        <f>"1358-2020/27"</f>
        <v>1358-2020/27</v>
      </c>
      <c r="B1309" s="1" t="str">
        <f t="shared" si="229"/>
        <v>27.02.2020</v>
      </c>
      <c r="C1309" s="1" t="str">
        <f t="shared" si="221"/>
        <v>Закрито</v>
      </c>
      <c r="D1309" s="1" t="str">
        <f>"Зняття з реєстрації місця проживання"</f>
        <v>Зняття з реєстрації місця проживання</v>
      </c>
      <c r="E1309" s="1" t="str">
        <f>"Реєстрація місця проживання"</f>
        <v>Реєстрація місця проживання</v>
      </c>
      <c r="F1309" s="1" t="str">
        <f>"Відділ реєстрації Новокаховської міської ради"</f>
        <v>Відділ реєстрації Новокаховської міської ради</v>
      </c>
      <c r="G1309" s="1" t="str">
        <f>"1"</f>
        <v>1</v>
      </c>
      <c r="H1309" s="1" t="str">
        <f>"Результат"</f>
        <v>Результат</v>
      </c>
      <c r="I1309" s="1" t="str">
        <f t="shared" si="228"/>
        <v>Позитивний</v>
      </c>
      <c r="J1309" s="1" t="str">
        <f>"Так"</f>
        <v>Так</v>
      </c>
    </row>
    <row r="1310" spans="1:10" ht="105" x14ac:dyDescent="0.25">
      <c r="A1310" s="1" t="str">
        <f>"1365-2020/27"</f>
        <v>1365-2020/27</v>
      </c>
      <c r="B1310" s="1" t="str">
        <f t="shared" si="229"/>
        <v>27.02.2020</v>
      </c>
      <c r="C1310" s="1" t="str">
        <f t="shared" si="221"/>
        <v>Закрито</v>
      </c>
      <c r="D131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10" s="1" t="str">
        <f>"Земельні питання"</f>
        <v>Земельні питання</v>
      </c>
      <c r="F131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10" s="1" t="str">
        <f>"1"</f>
        <v>1</v>
      </c>
      <c r="H1310" s="1" t="str">
        <f>"Результат"</f>
        <v>Результат</v>
      </c>
      <c r="I1310" s="1" t="str">
        <f t="shared" si="228"/>
        <v>Позитивний</v>
      </c>
      <c r="J1310" s="1" t="str">
        <f>"Так"</f>
        <v>Так</v>
      </c>
    </row>
    <row r="1311" spans="1:10" ht="90" x14ac:dyDescent="0.25">
      <c r="A1311" s="1" t="str">
        <f>"1344-2020/27"</f>
        <v>1344-2020/27</v>
      </c>
      <c r="B1311" s="1" t="str">
        <f t="shared" si="229"/>
        <v>27.02.2020</v>
      </c>
      <c r="C1311" s="1" t="str">
        <f t="shared" si="221"/>
        <v>Закрито</v>
      </c>
      <c r="D131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11" s="1" t="str">
        <f>"Інші послуги"</f>
        <v>Інші послуги</v>
      </c>
      <c r="F131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11" s="1" t="str">
        <f>"5"</f>
        <v>5</v>
      </c>
      <c r="H1311" s="1" t="str">
        <f>"Результат"</f>
        <v>Результат</v>
      </c>
      <c r="I1311" s="1" t="str">
        <f t="shared" si="228"/>
        <v>Позитивний</v>
      </c>
      <c r="J1311" s="1" t="str">
        <f>"Ні"</f>
        <v>Ні</v>
      </c>
    </row>
    <row r="1312" spans="1:10" ht="135" x14ac:dyDescent="0.25">
      <c r="A1312" s="1" t="str">
        <f>"1345-2020/27"</f>
        <v>1345-2020/27</v>
      </c>
      <c r="B1312" s="1" t="str">
        <f t="shared" si="229"/>
        <v>27.02.2020</v>
      </c>
      <c r="C1312" s="1" t="str">
        <f t="shared" ref="C1312:C1371" si="231">"Закрито"</f>
        <v>Закрито</v>
      </c>
      <c r="D131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12" s="1" t="str">
        <f>"Земельні питання"</f>
        <v>Земельні питання</v>
      </c>
      <c r="F13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12" s="1" t="str">
        <f>"14"</f>
        <v>14</v>
      </c>
      <c r="H1312" s="1" t="str">
        <f>"Результат"</f>
        <v>Результат</v>
      </c>
      <c r="I1312" s="1" t="str">
        <f t="shared" ref="I1312:I1343" si="232">"Позитивний"</f>
        <v>Позитивний</v>
      </c>
      <c r="J1312" s="1" t="str">
        <f>"Ні"</f>
        <v>Ні</v>
      </c>
    </row>
    <row r="1313" spans="1:10" ht="105" x14ac:dyDescent="0.25">
      <c r="A1313" s="1" t="str">
        <f>"1368-2020/27"</f>
        <v>1368-2020/27</v>
      </c>
      <c r="B1313" s="1" t="str">
        <f t="shared" si="229"/>
        <v>27.02.2020</v>
      </c>
      <c r="C1313" s="1" t="str">
        <f t="shared" si="231"/>
        <v>Закрито</v>
      </c>
      <c r="D131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13" s="1" t="str">
        <f>"Земельні питання"</f>
        <v>Земельні питання</v>
      </c>
      <c r="F131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13" s="1" t="str">
        <f>"1"</f>
        <v>1</v>
      </c>
      <c r="H1313" s="1" t="str">
        <f>"Результат"</f>
        <v>Результат</v>
      </c>
      <c r="I1313" s="1" t="str">
        <f t="shared" si="232"/>
        <v>Позитивний</v>
      </c>
      <c r="J1313" s="1" t="str">
        <f>"Так"</f>
        <v>Так</v>
      </c>
    </row>
    <row r="1314" spans="1:10" ht="45" x14ac:dyDescent="0.25">
      <c r="A1314" s="1" t="str">
        <f>"1372-2020/27"</f>
        <v>1372-2020/27</v>
      </c>
      <c r="B1314" s="1" t="str">
        <f t="shared" si="229"/>
        <v>27.02.2020</v>
      </c>
      <c r="C1314" s="1" t="str">
        <f t="shared" si="231"/>
        <v>Закрито</v>
      </c>
      <c r="D1314" s="1" t="str">
        <f>"Реєстрація місця проживання особи"</f>
        <v>Реєстрація місця проживання особи</v>
      </c>
      <c r="E1314" s="1" t="str">
        <f>"Реєстрація місця проживання"</f>
        <v>Реєстрація місця проживання</v>
      </c>
      <c r="F1314" s="1" t="str">
        <f>"Відділ реєстрації Новокаховської міської ради"</f>
        <v>Відділ реєстрації Новокаховської міської ради</v>
      </c>
      <c r="G1314" s="1" t="str">
        <f>"1"</f>
        <v>1</v>
      </c>
      <c r="H1314" s="1" t="str">
        <f>"Результат"</f>
        <v>Результат</v>
      </c>
      <c r="I1314" s="1" t="str">
        <f t="shared" si="232"/>
        <v>Позитивний</v>
      </c>
      <c r="J1314" s="1" t="str">
        <f>"Так"</f>
        <v>Так</v>
      </c>
    </row>
    <row r="1315" spans="1:10" ht="105" x14ac:dyDescent="0.25">
      <c r="A1315" s="1" t="str">
        <f>"1373-2020/27"</f>
        <v>1373-2020/27</v>
      </c>
      <c r="B1315" s="1" t="str">
        <f t="shared" si="229"/>
        <v>27.02.2020</v>
      </c>
      <c r="C1315" s="1" t="str">
        <f t="shared" si="231"/>
        <v>Закрито</v>
      </c>
      <c r="D13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15" s="1" t="str">
        <f>"Земельні питання"</f>
        <v>Земельні питання</v>
      </c>
      <c r="F131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15" s="1" t="str">
        <f>"1"</f>
        <v>1</v>
      </c>
      <c r="H1315" s="1" t="str">
        <f>"Результат"</f>
        <v>Результат</v>
      </c>
      <c r="I1315" s="1" t="str">
        <f t="shared" si="232"/>
        <v>Позитивний</v>
      </c>
      <c r="J1315" s="1" t="str">
        <f>"Так"</f>
        <v>Так</v>
      </c>
    </row>
    <row r="1316" spans="1:10" ht="45" x14ac:dyDescent="0.25">
      <c r="A1316" s="1" t="str">
        <f>"1378-2020/27"</f>
        <v>1378-2020/27</v>
      </c>
      <c r="B1316" s="1" t="str">
        <f t="shared" si="229"/>
        <v>27.02.2020</v>
      </c>
      <c r="C1316" s="1" t="str">
        <f t="shared" si="231"/>
        <v>Закрито</v>
      </c>
      <c r="D1316" s="1" t="str">
        <f>"Реєстрація місця проживання особи"</f>
        <v>Реєстрація місця проживання особи</v>
      </c>
      <c r="E1316" s="1" t="str">
        <f>"Реєстрація місця проживання"</f>
        <v>Реєстрація місця проживання</v>
      </c>
      <c r="F1316" s="1" t="str">
        <f>"Відділ реєстрації Новокаховської міської ради"</f>
        <v>Відділ реєстрації Новокаховської міської ради</v>
      </c>
      <c r="G1316" s="1" t="str">
        <f>"1"</f>
        <v>1</v>
      </c>
      <c r="H1316" s="1" t="str">
        <f>"Результат"</f>
        <v>Результат</v>
      </c>
      <c r="I1316" s="1" t="str">
        <f t="shared" si="232"/>
        <v>Позитивний</v>
      </c>
      <c r="J1316" s="1" t="str">
        <f>"Так"</f>
        <v>Так</v>
      </c>
    </row>
    <row r="1317" spans="1:10" ht="90" x14ac:dyDescent="0.25">
      <c r="A1317" s="1" t="str">
        <f>"1371-2020/27"</f>
        <v>1371-2020/27</v>
      </c>
      <c r="B1317" s="1" t="str">
        <f t="shared" si="229"/>
        <v>27.02.2020</v>
      </c>
      <c r="C1317" s="1" t="str">
        <f t="shared" si="231"/>
        <v>Закрито</v>
      </c>
      <c r="D131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17" s="1" t="str">
        <f>"Інші послуги"</f>
        <v>Інші послуги</v>
      </c>
      <c r="F131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17" s="1" t="str">
        <f>"5"</f>
        <v>5</v>
      </c>
      <c r="H1317" s="1" t="str">
        <f>"Результат"</f>
        <v>Результат</v>
      </c>
      <c r="I1317" s="1" t="str">
        <f t="shared" si="232"/>
        <v>Позитивний</v>
      </c>
      <c r="J1317" s="1" t="str">
        <f>"Ні"</f>
        <v>Ні</v>
      </c>
    </row>
    <row r="1318" spans="1:10" ht="45" x14ac:dyDescent="0.25">
      <c r="A1318" s="1" t="str">
        <f>"1377-2020/27"</f>
        <v>1377-2020/27</v>
      </c>
      <c r="B1318" s="1" t="str">
        <f t="shared" si="229"/>
        <v>27.02.2020</v>
      </c>
      <c r="C1318" s="1" t="str">
        <f t="shared" si="231"/>
        <v>Закрито</v>
      </c>
      <c r="D1318" s="1" t="str">
        <f>"Реєстрація місця проживання особи"</f>
        <v>Реєстрація місця проживання особи</v>
      </c>
      <c r="E1318" s="1" t="str">
        <f>"Реєстрація місця проживання"</f>
        <v>Реєстрація місця проживання</v>
      </c>
      <c r="F1318" s="1" t="str">
        <f>"Відділ реєстрації Новокаховської міської ради"</f>
        <v>Відділ реєстрації Новокаховської міської ради</v>
      </c>
      <c r="G1318" s="1" t="str">
        <f>"1"</f>
        <v>1</v>
      </c>
      <c r="H1318" s="1" t="str">
        <f>"Результат"</f>
        <v>Результат</v>
      </c>
      <c r="I1318" s="1" t="str">
        <f t="shared" si="232"/>
        <v>Позитивний</v>
      </c>
      <c r="J1318" s="1" t="str">
        <f>"Так"</f>
        <v>Так</v>
      </c>
    </row>
    <row r="1319" spans="1:10" ht="135" x14ac:dyDescent="0.25">
      <c r="A1319" s="1" t="str">
        <f>"1360-2020/27"</f>
        <v>1360-2020/27</v>
      </c>
      <c r="B1319" s="1" t="str">
        <f t="shared" si="229"/>
        <v>27.02.2020</v>
      </c>
      <c r="C1319" s="1" t="str">
        <f t="shared" si="231"/>
        <v>Закрито</v>
      </c>
      <c r="D131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19" s="1" t="str">
        <f t="shared" ref="E1319:E1330" si="233">"Земельні питання"</f>
        <v>Земельні питання</v>
      </c>
      <c r="F13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19" s="1" t="str">
        <f>"3"</f>
        <v>3</v>
      </c>
      <c r="H1319" s="1" t="str">
        <f>"Результат"</f>
        <v>Результат</v>
      </c>
      <c r="I1319" s="1" t="str">
        <f t="shared" si="232"/>
        <v>Позитивний</v>
      </c>
      <c r="J1319" s="1" t="str">
        <f>"Ні"</f>
        <v>Ні</v>
      </c>
    </row>
    <row r="1320" spans="1:10" ht="135" x14ac:dyDescent="0.25">
      <c r="A1320" s="1" t="str">
        <f>"1364-2020/27"</f>
        <v>1364-2020/27</v>
      </c>
      <c r="B1320" s="1" t="str">
        <f t="shared" si="229"/>
        <v>27.02.2020</v>
      </c>
      <c r="C1320" s="1" t="str">
        <f t="shared" si="231"/>
        <v>Закрито</v>
      </c>
      <c r="D132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20" s="1" t="str">
        <f t="shared" si="233"/>
        <v>Земельні питання</v>
      </c>
      <c r="F13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20" s="1" t="str">
        <f>"3"</f>
        <v>3</v>
      </c>
      <c r="H1320" s="1" t="str">
        <f>"Результат"</f>
        <v>Результат</v>
      </c>
      <c r="I1320" s="1" t="str">
        <f t="shared" si="232"/>
        <v>Позитивний</v>
      </c>
      <c r="J1320" s="1" t="str">
        <f>"Ні"</f>
        <v>Ні</v>
      </c>
    </row>
    <row r="1321" spans="1:10" ht="105" x14ac:dyDescent="0.25">
      <c r="A1321" s="1" t="str">
        <f>"1367-2020/27"</f>
        <v>1367-2020/27</v>
      </c>
      <c r="B1321" s="1" t="str">
        <f t="shared" si="229"/>
        <v>27.02.2020</v>
      </c>
      <c r="C1321" s="1" t="str">
        <f t="shared" si="231"/>
        <v>Закрито</v>
      </c>
      <c r="D13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21" s="1" t="str">
        <f t="shared" si="233"/>
        <v>Земельні питання</v>
      </c>
      <c r="F132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21" s="1" t="str">
        <f>"1"</f>
        <v>1</v>
      </c>
      <c r="H1321" s="1" t="str">
        <f>"Результат"</f>
        <v>Результат</v>
      </c>
      <c r="I1321" s="1" t="str">
        <f t="shared" si="232"/>
        <v>Позитивний</v>
      </c>
      <c r="J1321" s="1" t="str">
        <f>"Так"</f>
        <v>Так</v>
      </c>
    </row>
    <row r="1322" spans="1:10" ht="135" x14ac:dyDescent="0.25">
      <c r="A1322" s="1" t="str">
        <f>"1357-2020/27"</f>
        <v>1357-2020/27</v>
      </c>
      <c r="B1322" s="1" t="str">
        <f t="shared" si="229"/>
        <v>27.02.2020</v>
      </c>
      <c r="C1322" s="1" t="str">
        <f t="shared" si="231"/>
        <v>Закрито</v>
      </c>
      <c r="D132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22" s="1" t="str">
        <f t="shared" si="233"/>
        <v>Земельні питання</v>
      </c>
      <c r="F13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22" s="1" t="str">
        <f>"3"</f>
        <v>3</v>
      </c>
      <c r="H1322" s="1" t="str">
        <f>"Результат"</f>
        <v>Результат</v>
      </c>
      <c r="I1322" s="1" t="str">
        <f t="shared" si="232"/>
        <v>Позитивний</v>
      </c>
      <c r="J1322" s="1" t="str">
        <f>"Ні"</f>
        <v>Ні</v>
      </c>
    </row>
    <row r="1323" spans="1:10" ht="135" x14ac:dyDescent="0.25">
      <c r="A1323" s="1" t="str">
        <f>"1363-2020/27"</f>
        <v>1363-2020/27</v>
      </c>
      <c r="B1323" s="1" t="str">
        <f t="shared" si="229"/>
        <v>27.02.2020</v>
      </c>
      <c r="C1323" s="1" t="str">
        <f t="shared" si="231"/>
        <v>Закрито</v>
      </c>
      <c r="D132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23" s="1" t="str">
        <f t="shared" si="233"/>
        <v>Земельні питання</v>
      </c>
      <c r="F13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23" s="1" t="str">
        <f>"3"</f>
        <v>3</v>
      </c>
      <c r="H1323" s="1" t="str">
        <f>"Результат"</f>
        <v>Результат</v>
      </c>
      <c r="I1323" s="1" t="str">
        <f t="shared" si="232"/>
        <v>Позитивний</v>
      </c>
      <c r="J1323" s="1" t="str">
        <f>"Ні"</f>
        <v>Ні</v>
      </c>
    </row>
    <row r="1324" spans="1:10" ht="135" x14ac:dyDescent="0.25">
      <c r="A1324" s="1" t="str">
        <f>"1347-2020/27"</f>
        <v>1347-2020/27</v>
      </c>
      <c r="B1324" s="1" t="str">
        <f t="shared" si="229"/>
        <v>27.02.2020</v>
      </c>
      <c r="C1324" s="1" t="str">
        <f t="shared" si="231"/>
        <v>Закрито</v>
      </c>
      <c r="D132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24" s="1" t="str">
        <f t="shared" si="233"/>
        <v>Земельні питання</v>
      </c>
      <c r="F13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24" s="1" t="str">
        <f>"14"</f>
        <v>14</v>
      </c>
      <c r="H1324" s="1" t="str">
        <f>"Результат"</f>
        <v>Результат</v>
      </c>
      <c r="I1324" s="1" t="str">
        <f t="shared" si="232"/>
        <v>Позитивний</v>
      </c>
      <c r="J1324" s="1" t="str">
        <f>"Ні"</f>
        <v>Ні</v>
      </c>
    </row>
    <row r="1325" spans="1:10" ht="135" x14ac:dyDescent="0.25">
      <c r="A1325" s="1" t="str">
        <f>"1359-2020/27"</f>
        <v>1359-2020/27</v>
      </c>
      <c r="B1325" s="1" t="str">
        <f t="shared" si="229"/>
        <v>27.02.2020</v>
      </c>
      <c r="C1325" s="1" t="str">
        <f t="shared" si="231"/>
        <v>Закрито</v>
      </c>
      <c r="D13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25" s="1" t="str">
        <f t="shared" si="233"/>
        <v>Земельні питання</v>
      </c>
      <c r="F13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25" s="1" t="str">
        <f>"3"</f>
        <v>3</v>
      </c>
      <c r="H1325" s="1" t="str">
        <f>"Результат"</f>
        <v>Результат</v>
      </c>
      <c r="I1325" s="1" t="str">
        <f t="shared" si="232"/>
        <v>Позитивний</v>
      </c>
      <c r="J1325" s="1" t="str">
        <f>"Ні"</f>
        <v>Ні</v>
      </c>
    </row>
    <row r="1326" spans="1:10" ht="135" x14ac:dyDescent="0.25">
      <c r="A1326" s="1" t="str">
        <f>"1361-2020/27"</f>
        <v>1361-2020/27</v>
      </c>
      <c r="B1326" s="1" t="str">
        <f t="shared" si="229"/>
        <v>27.02.2020</v>
      </c>
      <c r="C1326" s="1" t="str">
        <f t="shared" si="231"/>
        <v>Закрито</v>
      </c>
      <c r="D132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26" s="1" t="str">
        <f t="shared" si="233"/>
        <v>Земельні питання</v>
      </c>
      <c r="F13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26" s="1" t="str">
        <f>"3"</f>
        <v>3</v>
      </c>
      <c r="H1326" s="1" t="str">
        <f>"Результат"</f>
        <v>Результат</v>
      </c>
      <c r="I1326" s="1" t="str">
        <f t="shared" si="232"/>
        <v>Позитивний</v>
      </c>
      <c r="J1326" s="1" t="str">
        <f>"Ні"</f>
        <v>Ні</v>
      </c>
    </row>
    <row r="1327" spans="1:10" ht="105" x14ac:dyDescent="0.25">
      <c r="A1327" s="1" t="str">
        <f>"1376-2020/27"</f>
        <v>1376-2020/27</v>
      </c>
      <c r="B1327" s="1" t="str">
        <f t="shared" si="229"/>
        <v>27.02.2020</v>
      </c>
      <c r="C1327" s="1" t="str">
        <f t="shared" si="231"/>
        <v>Закрито</v>
      </c>
      <c r="D132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27" s="1" t="str">
        <f t="shared" si="233"/>
        <v>Земельні питання</v>
      </c>
      <c r="F132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27" s="1" t="str">
        <f>"1"</f>
        <v>1</v>
      </c>
      <c r="H1327" s="1" t="str">
        <f>"Результат"</f>
        <v>Результат</v>
      </c>
      <c r="I1327" s="1" t="str">
        <f t="shared" si="232"/>
        <v>Позитивний</v>
      </c>
      <c r="J1327" s="1" t="str">
        <f>"Так"</f>
        <v>Так</v>
      </c>
    </row>
    <row r="1328" spans="1:10" ht="135" x14ac:dyDescent="0.25">
      <c r="A1328" s="1" t="str">
        <f>"1397-2020/27"</f>
        <v>1397-2020/27</v>
      </c>
      <c r="B1328" s="1" t="str">
        <f t="shared" ref="B1328:B1343" si="234">"28.02.2020"</f>
        <v>28.02.2020</v>
      </c>
      <c r="C1328" s="1" t="str">
        <f t="shared" si="231"/>
        <v>Закрито</v>
      </c>
      <c r="D132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328" s="1" t="str">
        <f t="shared" si="233"/>
        <v>Земельні питання</v>
      </c>
      <c r="F13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28" s="1" t="str">
        <f>"14"</f>
        <v>14</v>
      </c>
      <c r="H1328" s="1" t="str">
        <f>"Результат"</f>
        <v>Результат</v>
      </c>
      <c r="I1328" s="1" t="str">
        <f t="shared" si="232"/>
        <v>Позитивний</v>
      </c>
      <c r="J1328" s="1" t="str">
        <f>"Ні"</f>
        <v>Ні</v>
      </c>
    </row>
    <row r="1329" spans="1:10" ht="105" x14ac:dyDescent="0.25">
      <c r="A1329" s="1" t="str">
        <f>"1386-2020/27"</f>
        <v>1386-2020/27</v>
      </c>
      <c r="B1329" s="1" t="str">
        <f t="shared" si="234"/>
        <v>28.02.2020</v>
      </c>
      <c r="C1329" s="1" t="str">
        <f t="shared" si="231"/>
        <v>Закрито</v>
      </c>
      <c r="D132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29" s="1" t="str">
        <f t="shared" si="233"/>
        <v>Земельні питання</v>
      </c>
      <c r="F132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29" s="1" t="str">
        <f>"1"</f>
        <v>1</v>
      </c>
      <c r="H1329" s="1" t="str">
        <f>"Результат"</f>
        <v>Результат</v>
      </c>
      <c r="I1329" s="1" t="str">
        <f t="shared" si="232"/>
        <v>Позитивний</v>
      </c>
      <c r="J1329" s="1" t="str">
        <f>"Ні"</f>
        <v>Ні</v>
      </c>
    </row>
    <row r="1330" spans="1:10" ht="135" x14ac:dyDescent="0.25">
      <c r="A1330" s="1" t="str">
        <f>"1390-2020/27"</f>
        <v>1390-2020/27</v>
      </c>
      <c r="B1330" s="1" t="str">
        <f t="shared" si="234"/>
        <v>28.02.2020</v>
      </c>
      <c r="C1330" s="1" t="str">
        <f t="shared" si="231"/>
        <v>Закрито</v>
      </c>
      <c r="D133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30" s="1" t="str">
        <f t="shared" si="233"/>
        <v>Земельні питання</v>
      </c>
      <c r="F13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30" s="1" t="str">
        <f>"1"</f>
        <v>1</v>
      </c>
      <c r="H1330" s="1" t="str">
        <f>"Результат"</f>
        <v>Результат</v>
      </c>
      <c r="I1330" s="1" t="str">
        <f t="shared" si="232"/>
        <v>Позитивний</v>
      </c>
      <c r="J1330" s="1" t="str">
        <f>"Так"</f>
        <v>Так</v>
      </c>
    </row>
    <row r="1331" spans="1:10" ht="45" x14ac:dyDescent="0.25">
      <c r="A1331" s="1" t="str">
        <f>"1393-2020/27"</f>
        <v>1393-2020/27</v>
      </c>
      <c r="B1331" s="1" t="str">
        <f t="shared" si="234"/>
        <v>28.02.2020</v>
      </c>
      <c r="C1331" s="1" t="str">
        <f t="shared" si="231"/>
        <v>Закрито</v>
      </c>
      <c r="D1331" s="1" t="str">
        <f>"Реєстрація місця проживання особи"</f>
        <v>Реєстрація місця проживання особи</v>
      </c>
      <c r="E1331" s="1" t="str">
        <f>"Реєстрація місця проживання"</f>
        <v>Реєстрація місця проживання</v>
      </c>
      <c r="F1331" s="1" t="str">
        <f>"Відділ реєстрації Новокаховської міської ради"</f>
        <v>Відділ реєстрації Новокаховської міської ради</v>
      </c>
      <c r="G1331" s="1" t="str">
        <f>"1"</f>
        <v>1</v>
      </c>
      <c r="H1331" s="1" t="str">
        <f>"Результат"</f>
        <v>Результат</v>
      </c>
      <c r="I1331" s="1" t="str">
        <f t="shared" si="232"/>
        <v>Позитивний</v>
      </c>
      <c r="J1331" s="1" t="str">
        <f>"Так"</f>
        <v>Так</v>
      </c>
    </row>
    <row r="1332" spans="1:10" ht="45" x14ac:dyDescent="0.25">
      <c r="A1332" s="1" t="str">
        <f>"1384-2020/27"</f>
        <v>1384-2020/27</v>
      </c>
      <c r="B1332" s="1" t="str">
        <f t="shared" si="234"/>
        <v>28.02.2020</v>
      </c>
      <c r="C1332" s="1" t="str">
        <f t="shared" si="231"/>
        <v>Закрито</v>
      </c>
      <c r="D1332" s="1" t="str">
        <f>"Реєстрація місця проживання особи"</f>
        <v>Реєстрація місця проживання особи</v>
      </c>
      <c r="E1332" s="1" t="str">
        <f>"Реєстрація місця проживання"</f>
        <v>Реєстрація місця проживання</v>
      </c>
      <c r="F1332" s="1" t="str">
        <f>"Відділ реєстрації Новокаховської міської ради"</f>
        <v>Відділ реєстрації Новокаховської міської ради</v>
      </c>
      <c r="G1332" s="1" t="str">
        <f>"1"</f>
        <v>1</v>
      </c>
      <c r="H1332" s="1" t="str">
        <f>"Результат"</f>
        <v>Результат</v>
      </c>
      <c r="I1332" s="1" t="str">
        <f t="shared" si="232"/>
        <v>Позитивний</v>
      </c>
      <c r="J1332" s="1" t="str">
        <f>"Так"</f>
        <v>Так</v>
      </c>
    </row>
    <row r="1333" spans="1:10" ht="135" x14ac:dyDescent="0.25">
      <c r="A1333" s="1" t="str">
        <f>"1385-2020/27"</f>
        <v>1385-2020/27</v>
      </c>
      <c r="B1333" s="1" t="str">
        <f t="shared" si="234"/>
        <v>28.02.2020</v>
      </c>
      <c r="C1333" s="1" t="str">
        <f t="shared" si="231"/>
        <v>Закрито</v>
      </c>
      <c r="D133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333" s="1" t="str">
        <f>"Земельні питання"</f>
        <v>Земельні питання</v>
      </c>
      <c r="F13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33" s="1" t="str">
        <f>"14"</f>
        <v>14</v>
      </c>
      <c r="H1333" s="1" t="str">
        <f>"Результат"</f>
        <v>Результат</v>
      </c>
      <c r="I1333" s="1" t="str">
        <f t="shared" si="232"/>
        <v>Позитивний</v>
      </c>
      <c r="J1333" s="1" t="str">
        <f>"Ні"</f>
        <v>Ні</v>
      </c>
    </row>
    <row r="1334" spans="1:10" ht="45" x14ac:dyDescent="0.25">
      <c r="A1334" s="1" t="str">
        <f>"1389-2020/27"</f>
        <v>1389-2020/27</v>
      </c>
      <c r="B1334" s="1" t="str">
        <f t="shared" si="234"/>
        <v>28.02.2020</v>
      </c>
      <c r="C1334" s="1" t="str">
        <f t="shared" si="231"/>
        <v>Закрито</v>
      </c>
      <c r="D1334" s="1" t="str">
        <f>"Зняття з реєстрації місця проживання"</f>
        <v>Зняття з реєстрації місця проживання</v>
      </c>
      <c r="E1334" s="1" t="str">
        <f>"Реєстрація місця проживання"</f>
        <v>Реєстрація місця проживання</v>
      </c>
      <c r="F1334" s="1" t="str">
        <f>"Відділ реєстрації Новокаховської міської ради"</f>
        <v>Відділ реєстрації Новокаховської міської ради</v>
      </c>
      <c r="G1334" s="1" t="str">
        <f>"1"</f>
        <v>1</v>
      </c>
      <c r="H1334" s="1" t="str">
        <f>"Результат"</f>
        <v>Результат</v>
      </c>
      <c r="I1334" s="1" t="str">
        <f t="shared" si="232"/>
        <v>Позитивний</v>
      </c>
      <c r="J1334" s="1" t="str">
        <f>"Так"</f>
        <v>Так</v>
      </c>
    </row>
    <row r="1335" spans="1:10" ht="135" x14ac:dyDescent="0.25">
      <c r="A1335" s="1" t="str">
        <f>"1398-2020/27"</f>
        <v>1398-2020/27</v>
      </c>
      <c r="B1335" s="1" t="str">
        <f t="shared" si="234"/>
        <v>28.02.2020</v>
      </c>
      <c r="C1335" s="1" t="str">
        <f t="shared" si="231"/>
        <v>Закрито</v>
      </c>
      <c r="D133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35" s="1" t="str">
        <f>"Земельні питання"</f>
        <v>Земельні питання</v>
      </c>
      <c r="F13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35" s="1" t="str">
        <f>"1"</f>
        <v>1</v>
      </c>
      <c r="H1335" s="1" t="str">
        <f>"Результат"</f>
        <v>Результат</v>
      </c>
      <c r="I1335" s="1" t="str">
        <f t="shared" si="232"/>
        <v>Позитивний</v>
      </c>
      <c r="J1335" s="1" t="str">
        <f>"Так"</f>
        <v>Так</v>
      </c>
    </row>
    <row r="1336" spans="1:10" ht="45" x14ac:dyDescent="0.25">
      <c r="A1336" s="1" t="str">
        <f>"1396-2020/27"</f>
        <v>1396-2020/27</v>
      </c>
      <c r="B1336" s="1" t="str">
        <f t="shared" si="234"/>
        <v>28.02.2020</v>
      </c>
      <c r="C1336" s="1" t="str">
        <f t="shared" si="231"/>
        <v>Закрито</v>
      </c>
      <c r="D1336" s="1" t="str">
        <f>"Реєстрація місця проживання особи"</f>
        <v>Реєстрація місця проживання особи</v>
      </c>
      <c r="E1336" s="1" t="str">
        <f>"Реєстрація місця проживання"</f>
        <v>Реєстрація місця проживання</v>
      </c>
      <c r="F1336" s="1" t="str">
        <f>"Відділ реєстрації Новокаховської міської ради"</f>
        <v>Відділ реєстрації Новокаховської міської ради</v>
      </c>
      <c r="G1336" s="1" t="str">
        <f>"1"</f>
        <v>1</v>
      </c>
      <c r="H1336" s="1" t="str">
        <f>"Результат"</f>
        <v>Результат</v>
      </c>
      <c r="I1336" s="1" t="str">
        <f t="shared" si="232"/>
        <v>Позитивний</v>
      </c>
      <c r="J1336" s="1" t="str">
        <f>"Так"</f>
        <v>Так</v>
      </c>
    </row>
    <row r="1337" spans="1:10" ht="90" x14ac:dyDescent="0.25">
      <c r="A1337" s="1" t="str">
        <f>"1388-2020/27"</f>
        <v>1388-2020/27</v>
      </c>
      <c r="B1337" s="1" t="str">
        <f t="shared" si="234"/>
        <v>28.02.2020</v>
      </c>
      <c r="C1337" s="1" t="str">
        <f t="shared" si="231"/>
        <v>Закрито</v>
      </c>
      <c r="D133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37" s="1" t="str">
        <f>"Інші послуги"</f>
        <v>Інші послуги</v>
      </c>
      <c r="F133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37" s="1" t="str">
        <f>"5"</f>
        <v>5</v>
      </c>
      <c r="H1337" s="1" t="str">
        <f>"Результат"</f>
        <v>Результат</v>
      </c>
      <c r="I1337" s="1" t="str">
        <f t="shared" si="232"/>
        <v>Позитивний</v>
      </c>
      <c r="J1337" s="1" t="str">
        <f>"Ні"</f>
        <v>Ні</v>
      </c>
    </row>
    <row r="1338" spans="1:10" ht="45" x14ac:dyDescent="0.25">
      <c r="A1338" s="1" t="str">
        <f>"1391-2020/27"</f>
        <v>1391-2020/27</v>
      </c>
      <c r="B1338" s="1" t="str">
        <f t="shared" si="234"/>
        <v>28.02.2020</v>
      </c>
      <c r="C1338" s="1" t="str">
        <f t="shared" si="231"/>
        <v>Закрито</v>
      </c>
      <c r="D1338" s="1" t="str">
        <f>"Реєстрація місця проживання особи"</f>
        <v>Реєстрація місця проживання особи</v>
      </c>
      <c r="E1338" s="1" t="str">
        <f>"Реєстрація місця проживання"</f>
        <v>Реєстрація місця проживання</v>
      </c>
      <c r="F1338" s="1" t="str">
        <f>"Відділ реєстрації Новокаховської міської ради"</f>
        <v>Відділ реєстрації Новокаховської міської ради</v>
      </c>
      <c r="G1338" s="1" t="str">
        <f>"1"</f>
        <v>1</v>
      </c>
      <c r="H1338" s="1" t="str">
        <f>"Результат"</f>
        <v>Результат</v>
      </c>
      <c r="I1338" s="1" t="str">
        <f t="shared" si="232"/>
        <v>Позитивний</v>
      </c>
      <c r="J1338" s="1" t="str">
        <f>"Так"</f>
        <v>Так</v>
      </c>
    </row>
    <row r="1339" spans="1:10" ht="45" x14ac:dyDescent="0.25">
      <c r="A1339" s="1" t="str">
        <f>"1395-2020/27"</f>
        <v>1395-2020/27</v>
      </c>
      <c r="B1339" s="1" t="str">
        <f t="shared" si="234"/>
        <v>28.02.2020</v>
      </c>
      <c r="C1339" s="1" t="str">
        <f t="shared" si="231"/>
        <v>Закрито</v>
      </c>
      <c r="D1339" s="1" t="str">
        <f>"Реєстрація місця проживання особи"</f>
        <v>Реєстрація місця проживання особи</v>
      </c>
      <c r="E1339" s="1" t="str">
        <f>"Реєстрація місця проживання"</f>
        <v>Реєстрація місця проживання</v>
      </c>
      <c r="F1339" s="1" t="str">
        <f>"Відділ реєстрації Новокаховської міської ради"</f>
        <v>Відділ реєстрації Новокаховської міської ради</v>
      </c>
      <c r="G1339" s="1" t="str">
        <f>"1"</f>
        <v>1</v>
      </c>
      <c r="H1339" s="1" t="str">
        <f>"Результат"</f>
        <v>Результат</v>
      </c>
      <c r="I1339" s="1" t="str">
        <f t="shared" si="232"/>
        <v>Позитивний</v>
      </c>
      <c r="J1339" s="1" t="str">
        <f>"Так"</f>
        <v>Так</v>
      </c>
    </row>
    <row r="1340" spans="1:10" ht="135" x14ac:dyDescent="0.25">
      <c r="A1340" s="1" t="str">
        <f>"1383-2020/27"</f>
        <v>1383-2020/27</v>
      </c>
      <c r="B1340" s="1" t="str">
        <f t="shared" si="234"/>
        <v>28.02.2020</v>
      </c>
      <c r="C1340" s="1" t="str">
        <f t="shared" si="231"/>
        <v>Закрито</v>
      </c>
      <c r="D1340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340" s="1" t="str">
        <f>"Земельні питання"</f>
        <v>Земельні питання</v>
      </c>
      <c r="F13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40" s="1" t="str">
        <f>"14"</f>
        <v>14</v>
      </c>
      <c r="H1340" s="1" t="str">
        <f>"Результат"</f>
        <v>Результат</v>
      </c>
      <c r="I1340" s="1" t="str">
        <f t="shared" si="232"/>
        <v>Позитивний</v>
      </c>
      <c r="J1340" s="1" t="str">
        <f>"Ні"</f>
        <v>Ні</v>
      </c>
    </row>
    <row r="1341" spans="1:10" ht="45" x14ac:dyDescent="0.25">
      <c r="A1341" s="1" t="str">
        <f>"1387-2020/27"</f>
        <v>1387-2020/27</v>
      </c>
      <c r="B1341" s="1" t="str">
        <f t="shared" si="234"/>
        <v>28.02.2020</v>
      </c>
      <c r="C1341" s="1" t="str">
        <f t="shared" si="231"/>
        <v>Закрито</v>
      </c>
      <c r="D1341" s="1" t="str">
        <f>"Зняття з реєстрації місця проживання"</f>
        <v>Зняття з реєстрації місця проживання</v>
      </c>
      <c r="E1341" s="1" t="str">
        <f>"Реєстрація місця проживання"</f>
        <v>Реєстрація місця проживання</v>
      </c>
      <c r="F1341" s="1" t="str">
        <f>"Відділ реєстрації Новокаховської міської ради"</f>
        <v>Відділ реєстрації Новокаховської міської ради</v>
      </c>
      <c r="G1341" s="1" t="str">
        <f>"1"</f>
        <v>1</v>
      </c>
      <c r="H1341" s="1" t="str">
        <f>"Результат"</f>
        <v>Результат</v>
      </c>
      <c r="I1341" s="1" t="str">
        <f t="shared" si="232"/>
        <v>Позитивний</v>
      </c>
      <c r="J1341" s="1" t="str">
        <f>"Так"</f>
        <v>Так</v>
      </c>
    </row>
    <row r="1342" spans="1:10" ht="45" x14ac:dyDescent="0.25">
      <c r="A1342" s="1" t="str">
        <f>"1394-2020/27"</f>
        <v>1394-2020/27</v>
      </c>
      <c r="B1342" s="1" t="str">
        <f t="shared" si="234"/>
        <v>28.02.2020</v>
      </c>
      <c r="C1342" s="1" t="str">
        <f t="shared" si="231"/>
        <v>Закрито</v>
      </c>
      <c r="D1342" s="1" t="str">
        <f>"Реєстрація місця проживання особи"</f>
        <v>Реєстрація місця проживання особи</v>
      </c>
      <c r="E1342" s="1" t="str">
        <f>"Реєстрація місця проживання"</f>
        <v>Реєстрація місця проживання</v>
      </c>
      <c r="F1342" s="1" t="str">
        <f>"Відділ реєстрації Новокаховської міської ради"</f>
        <v>Відділ реєстрації Новокаховської міської ради</v>
      </c>
      <c r="G1342" s="1" t="str">
        <f>"1"</f>
        <v>1</v>
      </c>
      <c r="H1342" s="1" t="str">
        <f>"Результат"</f>
        <v>Результат</v>
      </c>
      <c r="I1342" s="1" t="str">
        <f t="shared" si="232"/>
        <v>Позитивний</v>
      </c>
      <c r="J1342" s="1" t="str">
        <f>"Так"</f>
        <v>Так</v>
      </c>
    </row>
    <row r="1343" spans="1:10" ht="90" x14ac:dyDescent="0.25">
      <c r="A1343" s="1" t="str">
        <f>"1392-2020/27"</f>
        <v>1392-2020/27</v>
      </c>
      <c r="B1343" s="1" t="str">
        <f t="shared" si="234"/>
        <v>28.02.2020</v>
      </c>
      <c r="C1343" s="1" t="str">
        <f t="shared" si="231"/>
        <v>Закрито</v>
      </c>
      <c r="D134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43" s="1" t="str">
        <f>"Інші послуги"</f>
        <v>Інші послуги</v>
      </c>
      <c r="F134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43" s="1" t="str">
        <f>"5"</f>
        <v>5</v>
      </c>
      <c r="H1343" s="1" t="str">
        <f>"Результат"</f>
        <v>Результат</v>
      </c>
      <c r="I1343" s="1" t="str">
        <f t="shared" si="232"/>
        <v>Позитивний</v>
      </c>
      <c r="J1343" s="1" t="str">
        <f>"Ні"</f>
        <v>Ні</v>
      </c>
    </row>
    <row r="1344" spans="1:10" ht="135" x14ac:dyDescent="0.25">
      <c r="A1344" s="1" t="str">
        <f>"1417-2020/27"</f>
        <v>1417-2020/27</v>
      </c>
      <c r="B1344" s="1" t="str">
        <f t="shared" ref="B1344:B1368" si="235">"02.03.2020"</f>
        <v>02.03.2020</v>
      </c>
      <c r="C1344" s="1" t="str">
        <f t="shared" si="231"/>
        <v>Закрито</v>
      </c>
      <c r="D134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44" s="1" t="str">
        <f>"Земельні питання"</f>
        <v>Земельні питання</v>
      </c>
      <c r="F13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44" s="1" t="str">
        <f>"14"</f>
        <v>14</v>
      </c>
      <c r="H1344" s="1" t="str">
        <f>"Результат"</f>
        <v>Результат</v>
      </c>
      <c r="I1344" s="1" t="str">
        <f t="shared" ref="I1344:I1365" si="236">"Позитивний"</f>
        <v>Позитивний</v>
      </c>
      <c r="J1344" s="1" t="str">
        <f>"Ні"</f>
        <v>Ні</v>
      </c>
    </row>
    <row r="1345" spans="1:10" ht="120" x14ac:dyDescent="0.25">
      <c r="A1345" s="1" t="str">
        <f>"1404-2020/27"</f>
        <v>1404-2020/27</v>
      </c>
      <c r="B1345" s="1" t="str">
        <f t="shared" si="235"/>
        <v>02.03.2020</v>
      </c>
      <c r="C1345" s="1" t="str">
        <f t="shared" si="231"/>
        <v>Закрито</v>
      </c>
      <c r="D1345" s="1" t="str">
        <f>"Реєстрація декларації відповідності матеріально-технічної бази суб’єкта господарювання вимогам законодавства з питань пожежної безпеки"</f>
        <v>Реєстрація декларації відповідності матеріально-технічної бази суб’єкта господарювання вимогам законодавства з питань пожежної безпеки</v>
      </c>
      <c r="E1345" s="1" t="str">
        <f>"Пожежна безпека"</f>
        <v>Пожежна безпека</v>
      </c>
      <c r="F1345" s="1" t="str">
        <f>"Новокаховський міський відділ Управління Державної служби України з надзвичайних ситуацій у Херсонській області"</f>
        <v>Новокаховський міський відділ Управління Державної служби України з надзвичайних ситуацій у Херсонській області</v>
      </c>
      <c r="G1345" s="1" t="str">
        <f>"10"</f>
        <v>10</v>
      </c>
      <c r="H1345" s="1" t="str">
        <f>"Результат"</f>
        <v>Результат</v>
      </c>
      <c r="I1345" s="1" t="str">
        <f t="shared" si="236"/>
        <v>Позитивний</v>
      </c>
      <c r="J1345" s="1" t="str">
        <f>"Ні"</f>
        <v>Ні</v>
      </c>
    </row>
    <row r="1346" spans="1:10" ht="135" x14ac:dyDescent="0.25">
      <c r="A1346" s="1" t="str">
        <f>"1413-2020/27"</f>
        <v>1413-2020/27</v>
      </c>
      <c r="B1346" s="1" t="str">
        <f t="shared" si="235"/>
        <v>02.03.2020</v>
      </c>
      <c r="C1346" s="1" t="str">
        <f t="shared" si="231"/>
        <v>Закрито</v>
      </c>
      <c r="D134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46" s="1" t="str">
        <f>"Земельні питання"</f>
        <v>Земельні питання</v>
      </c>
      <c r="F13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46" s="1" t="str">
        <f>"14"</f>
        <v>14</v>
      </c>
      <c r="H1346" s="1" t="str">
        <f>"Результат"</f>
        <v>Результат</v>
      </c>
      <c r="I1346" s="1" t="str">
        <f t="shared" si="236"/>
        <v>Позитивний</v>
      </c>
      <c r="J1346" s="1" t="str">
        <f>"Ні"</f>
        <v>Ні</v>
      </c>
    </row>
    <row r="1347" spans="1:10" ht="135" x14ac:dyDescent="0.25">
      <c r="A1347" s="1" t="str">
        <f>"1402-2020/27"</f>
        <v>1402-2020/27</v>
      </c>
      <c r="B1347" s="1" t="str">
        <f t="shared" si="235"/>
        <v>02.03.2020</v>
      </c>
      <c r="C1347" s="1" t="str">
        <f t="shared" si="231"/>
        <v>Закрито</v>
      </c>
      <c r="D134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47" s="1" t="str">
        <f>"Земельні питання"</f>
        <v>Земельні питання</v>
      </c>
      <c r="F13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47" s="1" t="str">
        <f>"14"</f>
        <v>14</v>
      </c>
      <c r="H1347" s="1" t="str">
        <f>"Результат"</f>
        <v>Результат</v>
      </c>
      <c r="I1347" s="1" t="str">
        <f t="shared" si="236"/>
        <v>Позитивний</v>
      </c>
      <c r="J1347" s="1" t="str">
        <f>"Ні"</f>
        <v>Ні</v>
      </c>
    </row>
    <row r="1348" spans="1:10" ht="135" x14ac:dyDescent="0.25">
      <c r="A1348" s="1" t="str">
        <f>"1403-2020/27"</f>
        <v>1403-2020/27</v>
      </c>
      <c r="B1348" s="1" t="str">
        <f t="shared" si="235"/>
        <v>02.03.2020</v>
      </c>
      <c r="C1348" s="1" t="str">
        <f t="shared" si="231"/>
        <v>Закрито</v>
      </c>
      <c r="D134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48" s="1" t="str">
        <f>"Земельні питання"</f>
        <v>Земельні питання</v>
      </c>
      <c r="F13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48" s="1" t="str">
        <f>"1"</f>
        <v>1</v>
      </c>
      <c r="H1348" s="1" t="str">
        <f>"Результат"</f>
        <v>Результат</v>
      </c>
      <c r="I1348" s="1" t="str">
        <f t="shared" si="236"/>
        <v>Позитивний</v>
      </c>
      <c r="J1348" s="1" t="str">
        <f>"Так"</f>
        <v>Так</v>
      </c>
    </row>
    <row r="1349" spans="1:10" ht="135" x14ac:dyDescent="0.25">
      <c r="A1349" s="1" t="str">
        <f>"1406-2020/27"</f>
        <v>1406-2020/27</v>
      </c>
      <c r="B1349" s="1" t="str">
        <f t="shared" si="235"/>
        <v>02.03.2020</v>
      </c>
      <c r="C1349" s="1" t="str">
        <f t="shared" si="231"/>
        <v>Закрито</v>
      </c>
      <c r="D13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49" s="1" t="str">
        <f>"Земельні питання"</f>
        <v>Земельні питання</v>
      </c>
      <c r="F13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49" s="1" t="str">
        <f>"1"</f>
        <v>1</v>
      </c>
      <c r="H1349" s="1" t="str">
        <f>"Результат"</f>
        <v>Результат</v>
      </c>
      <c r="I1349" s="1" t="str">
        <f t="shared" si="236"/>
        <v>Позитивний</v>
      </c>
      <c r="J1349" s="1" t="str">
        <f>"Так"</f>
        <v>Так</v>
      </c>
    </row>
    <row r="1350" spans="1:10" ht="135" x14ac:dyDescent="0.25">
      <c r="A1350" s="1" t="str">
        <f>"1410-2020/27"</f>
        <v>1410-2020/27</v>
      </c>
      <c r="B1350" s="1" t="str">
        <f t="shared" si="235"/>
        <v>02.03.2020</v>
      </c>
      <c r="C1350" s="1" t="str">
        <f t="shared" si="231"/>
        <v>Закрито</v>
      </c>
      <c r="D135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50" s="1" t="str">
        <f>"Земельні питання"</f>
        <v>Земельні питання</v>
      </c>
      <c r="F13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50" s="1" t="str">
        <f>"14"</f>
        <v>14</v>
      </c>
      <c r="H1350" s="1" t="str">
        <f>"Результат"</f>
        <v>Результат</v>
      </c>
      <c r="I1350" s="1" t="str">
        <f t="shared" si="236"/>
        <v>Позитивний</v>
      </c>
      <c r="J1350" s="1" t="str">
        <f>"Ні"</f>
        <v>Ні</v>
      </c>
    </row>
    <row r="1351" spans="1:10" ht="45" x14ac:dyDescent="0.25">
      <c r="A1351" s="1" t="str">
        <f>"1416-2020/27"</f>
        <v>1416-2020/27</v>
      </c>
      <c r="B1351" s="1" t="str">
        <f t="shared" si="235"/>
        <v>02.03.2020</v>
      </c>
      <c r="C1351" s="1" t="str">
        <f t="shared" si="231"/>
        <v>Закрито</v>
      </c>
      <c r="D1351" s="1" t="str">
        <f>"Реєстрація місця проживання особи"</f>
        <v>Реєстрація місця проживання особи</v>
      </c>
      <c r="E1351" s="1" t="str">
        <f>"Реєстрація місця проживання"</f>
        <v>Реєстрація місця проживання</v>
      </c>
      <c r="F1351" s="1" t="str">
        <f>"Відділ реєстрації Новокаховської міської ради"</f>
        <v>Відділ реєстрації Новокаховської міської ради</v>
      </c>
      <c r="G1351" s="1" t="str">
        <f>"1"</f>
        <v>1</v>
      </c>
      <c r="H1351" s="1" t="str">
        <f>"Результат"</f>
        <v>Результат</v>
      </c>
      <c r="I1351" s="1" t="str">
        <f t="shared" si="236"/>
        <v>Позитивний</v>
      </c>
      <c r="J1351" s="1" t="str">
        <f>"Так"</f>
        <v>Так</v>
      </c>
    </row>
    <row r="1352" spans="1:10" ht="135" x14ac:dyDescent="0.25">
      <c r="A1352" s="1" t="str">
        <f>"1415-2020/27"</f>
        <v>1415-2020/27</v>
      </c>
      <c r="B1352" s="1" t="str">
        <f t="shared" si="235"/>
        <v>02.03.2020</v>
      </c>
      <c r="C1352" s="1" t="str">
        <f t="shared" si="231"/>
        <v>Закрито</v>
      </c>
      <c r="D13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52" s="1" t="str">
        <f>"Земельні питання"</f>
        <v>Земельні питання</v>
      </c>
      <c r="F13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52" s="1" t="str">
        <f>"1"</f>
        <v>1</v>
      </c>
      <c r="H1352" s="1" t="str">
        <f>"Результат"</f>
        <v>Результат</v>
      </c>
      <c r="I1352" s="1" t="str">
        <f t="shared" si="236"/>
        <v>Позитивний</v>
      </c>
      <c r="J1352" s="1" t="str">
        <f>"Так"</f>
        <v>Так</v>
      </c>
    </row>
    <row r="1353" spans="1:10" ht="45" x14ac:dyDescent="0.25">
      <c r="A1353" s="1" t="str">
        <f>"1407-2020/27"</f>
        <v>1407-2020/27</v>
      </c>
      <c r="B1353" s="1" t="str">
        <f t="shared" si="235"/>
        <v>02.03.2020</v>
      </c>
      <c r="C1353" s="1" t="str">
        <f t="shared" si="231"/>
        <v>Закрито</v>
      </c>
      <c r="D1353" s="1" t="str">
        <f>"Реєстрація місця проживання особи"</f>
        <v>Реєстрація місця проживання особи</v>
      </c>
      <c r="E1353" s="1" t="str">
        <f>"Реєстрація місця проживання"</f>
        <v>Реєстрація місця проживання</v>
      </c>
      <c r="F1353" s="1" t="str">
        <f>"Відділ реєстрації Новокаховської міської ради"</f>
        <v>Відділ реєстрації Новокаховської міської ради</v>
      </c>
      <c r="G1353" s="1" t="str">
        <f>"1"</f>
        <v>1</v>
      </c>
      <c r="H1353" s="1" t="str">
        <f>"Результат"</f>
        <v>Результат</v>
      </c>
      <c r="I1353" s="1" t="str">
        <f t="shared" si="236"/>
        <v>Позитивний</v>
      </c>
      <c r="J1353" s="1" t="str">
        <f>"Так"</f>
        <v>Так</v>
      </c>
    </row>
    <row r="1354" spans="1:10" ht="45" x14ac:dyDescent="0.25">
      <c r="A1354" s="1" t="str">
        <f>"1399-2020/27"</f>
        <v>1399-2020/27</v>
      </c>
      <c r="B1354" s="1" t="str">
        <f t="shared" si="235"/>
        <v>02.03.2020</v>
      </c>
      <c r="C1354" s="1" t="str">
        <f t="shared" si="231"/>
        <v>Закрито</v>
      </c>
      <c r="D1354" s="1" t="str">
        <f>"Реєстрація місця проживання особи"</f>
        <v>Реєстрація місця проживання особи</v>
      </c>
      <c r="E1354" s="1" t="str">
        <f>"Реєстрація місця проживання"</f>
        <v>Реєстрація місця проживання</v>
      </c>
      <c r="F1354" s="1" t="str">
        <f>"Відділ реєстрації Новокаховської міської ради"</f>
        <v>Відділ реєстрації Новокаховської міської ради</v>
      </c>
      <c r="G1354" s="1" t="str">
        <f>"1"</f>
        <v>1</v>
      </c>
      <c r="H1354" s="1" t="str">
        <f>"Результат"</f>
        <v>Результат</v>
      </c>
      <c r="I1354" s="1" t="str">
        <f t="shared" si="236"/>
        <v>Позитивний</v>
      </c>
      <c r="J1354" s="1" t="str">
        <f>"Так"</f>
        <v>Так</v>
      </c>
    </row>
    <row r="1355" spans="1:10" ht="90" x14ac:dyDescent="0.25">
      <c r="A1355" s="1" t="str">
        <f>"1411-2020/27"</f>
        <v>1411-2020/27</v>
      </c>
      <c r="B1355" s="1" t="str">
        <f t="shared" si="235"/>
        <v>02.03.2020</v>
      </c>
      <c r="C1355" s="1" t="str">
        <f t="shared" si="231"/>
        <v>Закрито</v>
      </c>
      <c r="D135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55" s="1" t="str">
        <f>"Інші послуги"</f>
        <v>Інші послуги</v>
      </c>
      <c r="F135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55" s="1" t="str">
        <f>"5"</f>
        <v>5</v>
      </c>
      <c r="H1355" s="1" t="str">
        <f>"Результат"</f>
        <v>Результат</v>
      </c>
      <c r="I1355" s="1" t="str">
        <f t="shared" si="236"/>
        <v>Позитивний</v>
      </c>
      <c r="J1355" s="1" t="str">
        <f>"Ні"</f>
        <v>Ні</v>
      </c>
    </row>
    <row r="1356" spans="1:10" ht="135" x14ac:dyDescent="0.25">
      <c r="A1356" s="1" t="str">
        <f>"1422-2020/27"</f>
        <v>1422-2020/27</v>
      </c>
      <c r="B1356" s="1" t="str">
        <f t="shared" si="235"/>
        <v>02.03.2020</v>
      </c>
      <c r="C1356" s="1" t="str">
        <f t="shared" si="231"/>
        <v>Закрито</v>
      </c>
      <c r="D135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56" s="1" t="str">
        <f>"Земельні питання"</f>
        <v>Земельні питання</v>
      </c>
      <c r="F13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56" s="1" t="str">
        <f>"1"</f>
        <v>1</v>
      </c>
      <c r="H1356" s="1" t="str">
        <f>"Результат"</f>
        <v>Результат</v>
      </c>
      <c r="I1356" s="1" t="str">
        <f t="shared" si="236"/>
        <v>Позитивний</v>
      </c>
      <c r="J1356" s="1" t="str">
        <f>"Так"</f>
        <v>Так</v>
      </c>
    </row>
    <row r="1357" spans="1:10" ht="105" x14ac:dyDescent="0.25">
      <c r="A1357" s="1" t="str">
        <f>"1420-2020/27"</f>
        <v>1420-2020/27</v>
      </c>
      <c r="B1357" s="1" t="str">
        <f t="shared" si="235"/>
        <v>02.03.2020</v>
      </c>
      <c r="C1357" s="1" t="str">
        <f t="shared" si="231"/>
        <v>Закрито</v>
      </c>
      <c r="D13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57" s="1" t="str">
        <f>"Земельні питання"</f>
        <v>Земельні питання</v>
      </c>
      <c r="F135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57" s="1" t="str">
        <f>"1"</f>
        <v>1</v>
      </c>
      <c r="H1357" s="1" t="str">
        <f>"Результат"</f>
        <v>Результат</v>
      </c>
      <c r="I1357" s="1" t="str">
        <f t="shared" si="236"/>
        <v>Позитивний</v>
      </c>
      <c r="J1357" s="1" t="str">
        <f>"Так"</f>
        <v>Так</v>
      </c>
    </row>
    <row r="1358" spans="1:10" ht="45" x14ac:dyDescent="0.25">
      <c r="A1358" s="1" t="str">
        <f>"1414-2020/27"</f>
        <v>1414-2020/27</v>
      </c>
      <c r="B1358" s="1" t="str">
        <f t="shared" si="235"/>
        <v>02.03.2020</v>
      </c>
      <c r="C1358" s="1" t="str">
        <f t="shared" si="231"/>
        <v>Закрито</v>
      </c>
      <c r="D1358" s="1" t="str">
        <f>"Зняття з реєстрації місця проживання"</f>
        <v>Зняття з реєстрації місця проживання</v>
      </c>
      <c r="E1358" s="1" t="str">
        <f>"Реєстрація місця проживання"</f>
        <v>Реєстрація місця проживання</v>
      </c>
      <c r="F1358" s="1" t="str">
        <f>"Відділ реєстрації Новокаховської міської ради"</f>
        <v>Відділ реєстрації Новокаховської міської ради</v>
      </c>
      <c r="G1358" s="1" t="str">
        <f>"1"</f>
        <v>1</v>
      </c>
      <c r="H1358" s="1" t="str">
        <f>"Результат"</f>
        <v>Результат</v>
      </c>
      <c r="I1358" s="1" t="str">
        <f t="shared" si="236"/>
        <v>Позитивний</v>
      </c>
      <c r="J1358" s="1" t="str">
        <f>"Так"</f>
        <v>Так</v>
      </c>
    </row>
    <row r="1359" spans="1:10" ht="135" x14ac:dyDescent="0.25">
      <c r="A1359" s="1" t="str">
        <f>"1412-2020/27"</f>
        <v>1412-2020/27</v>
      </c>
      <c r="B1359" s="1" t="str">
        <f t="shared" si="235"/>
        <v>02.03.2020</v>
      </c>
      <c r="C1359" s="1" t="str">
        <f t="shared" si="231"/>
        <v>Закрито</v>
      </c>
      <c r="D135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59" s="1" t="str">
        <f>"Земельні питання"</f>
        <v>Земельні питання</v>
      </c>
      <c r="F13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59" s="1" t="str">
        <f>"14"</f>
        <v>14</v>
      </c>
      <c r="H1359" s="1" t="str">
        <f>"Результат"</f>
        <v>Результат</v>
      </c>
      <c r="I1359" s="1" t="str">
        <f t="shared" si="236"/>
        <v>Позитивний</v>
      </c>
      <c r="J1359" s="1" t="str">
        <f>"Ні"</f>
        <v>Ні</v>
      </c>
    </row>
    <row r="1360" spans="1:10" ht="45" x14ac:dyDescent="0.25">
      <c r="A1360" s="1" t="str">
        <f>"1418-2020/27"</f>
        <v>1418-2020/27</v>
      </c>
      <c r="B1360" s="1" t="str">
        <f t="shared" si="235"/>
        <v>02.03.2020</v>
      </c>
      <c r="C1360" s="1" t="str">
        <f t="shared" si="231"/>
        <v>Закрито</v>
      </c>
      <c r="D1360" s="1" t="str">
        <f>"Реєстрація місця проживання особи"</f>
        <v>Реєстрація місця проживання особи</v>
      </c>
      <c r="E1360" s="1" t="str">
        <f>"Реєстрація місця проживання"</f>
        <v>Реєстрація місця проживання</v>
      </c>
      <c r="F1360" s="1" t="str">
        <f>"Відділ реєстрації Новокаховської міської ради"</f>
        <v>Відділ реєстрації Новокаховської міської ради</v>
      </c>
      <c r="G1360" s="1" t="str">
        <f>"1"</f>
        <v>1</v>
      </c>
      <c r="H1360" s="1" t="str">
        <f>"Результат"</f>
        <v>Результат</v>
      </c>
      <c r="I1360" s="1" t="str">
        <f t="shared" si="236"/>
        <v>Позитивний</v>
      </c>
      <c r="J1360" s="1" t="str">
        <f>"Так"</f>
        <v>Так</v>
      </c>
    </row>
    <row r="1361" spans="1:10" ht="135" x14ac:dyDescent="0.25">
      <c r="A1361" s="1" t="str">
        <f>"1419-2020/27"</f>
        <v>1419-2020/27</v>
      </c>
      <c r="B1361" s="1" t="str">
        <f t="shared" si="235"/>
        <v>02.03.2020</v>
      </c>
      <c r="C1361" s="1" t="str">
        <f t="shared" si="231"/>
        <v>Закрито</v>
      </c>
      <c r="D13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61" s="1" t="str">
        <f>"Земельні питання"</f>
        <v>Земельні питання</v>
      </c>
      <c r="F13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61" s="1" t="str">
        <f>"1"</f>
        <v>1</v>
      </c>
      <c r="H1361" s="1" t="str">
        <f>"Результат"</f>
        <v>Результат</v>
      </c>
      <c r="I1361" s="1" t="str">
        <f t="shared" si="236"/>
        <v>Позитивний</v>
      </c>
      <c r="J1361" s="1" t="str">
        <f>"Так"</f>
        <v>Так</v>
      </c>
    </row>
    <row r="1362" spans="1:10" ht="45" x14ac:dyDescent="0.25">
      <c r="A1362" s="1" t="str">
        <f>"1405-2020/27"</f>
        <v>1405-2020/27</v>
      </c>
      <c r="B1362" s="1" t="str">
        <f t="shared" si="235"/>
        <v>02.03.2020</v>
      </c>
      <c r="C1362" s="1" t="str">
        <f t="shared" si="231"/>
        <v>Закрито</v>
      </c>
      <c r="D1362" s="1" t="str">
        <f>"Зняття з реєстрації місця проживання"</f>
        <v>Зняття з реєстрації місця проживання</v>
      </c>
      <c r="E1362" s="1" t="str">
        <f>"Реєстрація місця проживання"</f>
        <v>Реєстрація місця проживання</v>
      </c>
      <c r="F1362" s="1" t="str">
        <f>"Відділ реєстрації Новокаховської міської ради"</f>
        <v>Відділ реєстрації Новокаховської міської ради</v>
      </c>
      <c r="G1362" s="1" t="str">
        <f>"1"</f>
        <v>1</v>
      </c>
      <c r="H1362" s="1" t="str">
        <f>"Результат"</f>
        <v>Результат</v>
      </c>
      <c r="I1362" s="1" t="str">
        <f t="shared" si="236"/>
        <v>Позитивний</v>
      </c>
      <c r="J1362" s="1" t="str">
        <f>"Так"</f>
        <v>Так</v>
      </c>
    </row>
    <row r="1363" spans="1:10" ht="45" x14ac:dyDescent="0.25">
      <c r="A1363" s="1" t="str">
        <f>"1400-2020/27"</f>
        <v>1400-2020/27</v>
      </c>
      <c r="B1363" s="1" t="str">
        <f t="shared" si="235"/>
        <v>02.03.2020</v>
      </c>
      <c r="C1363" s="1" t="str">
        <f t="shared" si="231"/>
        <v>Закрито</v>
      </c>
      <c r="D1363" s="1" t="str">
        <f>"Реєстрація місця проживання особи"</f>
        <v>Реєстрація місця проживання особи</v>
      </c>
      <c r="E1363" s="1" t="str">
        <f>"Реєстрація місця проживання"</f>
        <v>Реєстрація місця проживання</v>
      </c>
      <c r="F1363" s="1" t="str">
        <f>"Відділ реєстрації Новокаховської міської ради"</f>
        <v>Відділ реєстрації Новокаховської міської ради</v>
      </c>
      <c r="G1363" s="1" t="str">
        <f>"1"</f>
        <v>1</v>
      </c>
      <c r="H1363" s="1" t="str">
        <f>"Результат"</f>
        <v>Результат</v>
      </c>
      <c r="I1363" s="1" t="str">
        <f t="shared" si="236"/>
        <v>Позитивний</v>
      </c>
      <c r="J1363" s="1" t="str">
        <f>"Так"</f>
        <v>Так</v>
      </c>
    </row>
    <row r="1364" spans="1:10" ht="45" x14ac:dyDescent="0.25">
      <c r="A1364" s="1" t="str">
        <f>"1421-2020/27"</f>
        <v>1421-2020/27</v>
      </c>
      <c r="B1364" s="1" t="str">
        <f t="shared" si="235"/>
        <v>02.03.2020</v>
      </c>
      <c r="C1364" s="1" t="str">
        <f t="shared" si="231"/>
        <v>Закрито</v>
      </c>
      <c r="D1364" s="1" t="str">
        <f>"Реєстрація місця проживання особи"</f>
        <v>Реєстрація місця проживання особи</v>
      </c>
      <c r="E1364" s="1" t="str">
        <f>"Реєстрація місця проживання"</f>
        <v>Реєстрація місця проживання</v>
      </c>
      <c r="F1364" s="1" t="str">
        <f>"Відділ реєстрації Новокаховської міської ради"</f>
        <v>Відділ реєстрації Новокаховської міської ради</v>
      </c>
      <c r="G1364" s="1" t="str">
        <f>"1"</f>
        <v>1</v>
      </c>
      <c r="H1364" s="1" t="str">
        <f>"Результат"</f>
        <v>Результат</v>
      </c>
      <c r="I1364" s="1" t="str">
        <f t="shared" si="236"/>
        <v>Позитивний</v>
      </c>
      <c r="J1364" s="1" t="str">
        <f>"Так"</f>
        <v>Так</v>
      </c>
    </row>
    <row r="1365" spans="1:10" ht="135" x14ac:dyDescent="0.25">
      <c r="A1365" s="1" t="str">
        <f>"1409-2020/27"</f>
        <v>1409-2020/27</v>
      </c>
      <c r="B1365" s="1" t="str">
        <f t="shared" si="235"/>
        <v>02.03.2020</v>
      </c>
      <c r="C1365" s="1" t="str">
        <f t="shared" si="231"/>
        <v>Закрито</v>
      </c>
      <c r="D136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65" s="1" t="str">
        <f>"Земельні питання"</f>
        <v>Земельні питання</v>
      </c>
      <c r="F13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65" s="1" t="str">
        <f>"14"</f>
        <v>14</v>
      </c>
      <c r="H1365" s="1" t="str">
        <f>"Результат"</f>
        <v>Результат</v>
      </c>
      <c r="I1365" s="1" t="str">
        <f t="shared" si="236"/>
        <v>Позитивний</v>
      </c>
      <c r="J1365" s="1" t="str">
        <f>"Ні"</f>
        <v>Ні</v>
      </c>
    </row>
    <row r="1366" spans="1:10" ht="105" x14ac:dyDescent="0.25">
      <c r="A1366" s="1" t="str">
        <f>"1401-2020/27"</f>
        <v>1401-2020/27</v>
      </c>
      <c r="B1366" s="1" t="str">
        <f t="shared" si="235"/>
        <v>02.03.2020</v>
      </c>
      <c r="C1366" s="1" t="str">
        <f t="shared" si="231"/>
        <v>Закрито</v>
      </c>
      <c r="D1366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366" s="1" t="str">
        <f>"Земельні питання"</f>
        <v>Земельні питання</v>
      </c>
      <c r="F136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366" s="1" t="str">
        <f>"10"</f>
        <v>10</v>
      </c>
      <c r="H1366" s="1" t="str">
        <f>"Результат"</f>
        <v>Результат</v>
      </c>
      <c r="I1366" s="1" t="str">
        <f>"Мотивована відмова"</f>
        <v>Мотивована відмова</v>
      </c>
      <c r="J1366" s="1" t="str">
        <f>"Ні"</f>
        <v>Ні</v>
      </c>
    </row>
    <row r="1367" spans="1:10" ht="135" x14ac:dyDescent="0.25">
      <c r="A1367" s="1" t="str">
        <f>"1423-2020/27"</f>
        <v>1423-2020/27</v>
      </c>
      <c r="B1367" s="1" t="str">
        <f t="shared" si="235"/>
        <v>02.03.2020</v>
      </c>
      <c r="C1367" s="1" t="str">
        <f t="shared" si="231"/>
        <v>Закрито</v>
      </c>
      <c r="D136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67" s="1" t="str">
        <f>"Земельні питання"</f>
        <v>Земельні питання</v>
      </c>
      <c r="F13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67" s="1" t="str">
        <f>"1"</f>
        <v>1</v>
      </c>
      <c r="H1367" s="1" t="str">
        <f>"Результат"</f>
        <v>Результат</v>
      </c>
      <c r="I1367" s="1" t="str">
        <f>"Позитивний"</f>
        <v>Позитивний</v>
      </c>
      <c r="J1367" s="1" t="str">
        <f>"Так"</f>
        <v>Так</v>
      </c>
    </row>
    <row r="1368" spans="1:10" ht="45" x14ac:dyDescent="0.25">
      <c r="A1368" s="1" t="str">
        <f>"1408-2020/27"</f>
        <v>1408-2020/27</v>
      </c>
      <c r="B1368" s="1" t="str">
        <f t="shared" si="235"/>
        <v>02.03.2020</v>
      </c>
      <c r="C1368" s="1" t="str">
        <f t="shared" si="231"/>
        <v>Закрито</v>
      </c>
      <c r="D1368" s="1" t="str">
        <f>"Зняття з реєстрації місця проживання"</f>
        <v>Зняття з реєстрації місця проживання</v>
      </c>
      <c r="E1368" s="1" t="str">
        <f>"Реєстрація місця проживання"</f>
        <v>Реєстрація місця проживання</v>
      </c>
      <c r="F1368" s="1" t="str">
        <f>"Відділ реєстрації Новокаховської міської ради"</f>
        <v>Відділ реєстрації Новокаховської міської ради</v>
      </c>
      <c r="G1368" s="1" t="str">
        <f>"1"</f>
        <v>1</v>
      </c>
      <c r="H1368" s="1" t="str">
        <f>"Результат"</f>
        <v>Результат</v>
      </c>
      <c r="I1368" s="1" t="str">
        <f>"Позитивний"</f>
        <v>Позитивний</v>
      </c>
      <c r="J1368" s="1" t="str">
        <f>"Так"</f>
        <v>Так</v>
      </c>
    </row>
    <row r="1369" spans="1:10" ht="135" x14ac:dyDescent="0.25">
      <c r="A1369" s="1" t="str">
        <f>"1443-2020/27"</f>
        <v>1443-2020/27</v>
      </c>
      <c r="B1369" s="1" t="str">
        <f t="shared" ref="B1369:B1391" si="237">"03.03.2020"</f>
        <v>03.03.2020</v>
      </c>
      <c r="C1369" s="1" t="str">
        <f t="shared" si="231"/>
        <v>Закрито</v>
      </c>
      <c r="D136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369" s="1" t="str">
        <f>"Земельні питання"</f>
        <v>Земельні питання</v>
      </c>
      <c r="F13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69" s="1" t="str">
        <f>"14"</f>
        <v>14</v>
      </c>
      <c r="H1369" s="1" t="str">
        <f>"Результат"</f>
        <v>Результат</v>
      </c>
      <c r="I1369" s="1" t="str">
        <f>"Позитивний"</f>
        <v>Позитивний</v>
      </c>
      <c r="J1369" s="1" t="str">
        <f>"Ні"</f>
        <v>Ні</v>
      </c>
    </row>
    <row r="1370" spans="1:10" ht="45" x14ac:dyDescent="0.25">
      <c r="A1370" s="1" t="str">
        <f>"1429-2020/27"</f>
        <v>1429-2020/27</v>
      </c>
      <c r="B1370" s="1" t="str">
        <f t="shared" si="237"/>
        <v>03.03.2020</v>
      </c>
      <c r="C1370" s="1" t="str">
        <f t="shared" si="231"/>
        <v>Закрито</v>
      </c>
      <c r="D1370" s="1" t="str">
        <f>"Зняття з реєстрації місця проживання"</f>
        <v>Зняття з реєстрації місця проживання</v>
      </c>
      <c r="E1370" s="1" t="str">
        <f>"Земельні питання"</f>
        <v>Земельні питання</v>
      </c>
      <c r="F1370" s="1" t="str">
        <f>"Відділ реєстрації Новокаховської міської ради"</f>
        <v>Відділ реєстрації Новокаховської міської ради</v>
      </c>
      <c r="G1370" s="1" t="str">
        <f>"1"</f>
        <v>1</v>
      </c>
      <c r="H1370" s="1" t="str">
        <f>"Результат"</f>
        <v>Результат</v>
      </c>
      <c r="I1370" s="1" t="str">
        <f>"Позитивний"</f>
        <v>Позитивний</v>
      </c>
      <c r="J1370" s="1" t="str">
        <f>"Так"</f>
        <v>Так</v>
      </c>
    </row>
    <row r="1371" spans="1:10" ht="135" x14ac:dyDescent="0.25">
      <c r="A1371" s="1" t="str">
        <f>"1442-2020/27"</f>
        <v>1442-2020/27</v>
      </c>
      <c r="B1371" s="1" t="str">
        <f t="shared" si="237"/>
        <v>03.03.2020</v>
      </c>
      <c r="C1371" s="1" t="str">
        <f t="shared" si="231"/>
        <v>Закрито</v>
      </c>
      <c r="D137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371" s="1" t="str">
        <f>"Земельні питання"</f>
        <v>Земельні питання</v>
      </c>
      <c r="F13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71" s="1" t="str">
        <f>"14"</f>
        <v>14</v>
      </c>
      <c r="H1371" s="1" t="str">
        <f>"Результат"</f>
        <v>Результат</v>
      </c>
      <c r="I1371" s="1" t="str">
        <f>"Позитивний"</f>
        <v>Позитивний</v>
      </c>
      <c r="J1371" s="1" t="str">
        <f>"Ні"</f>
        <v>Ні</v>
      </c>
    </row>
    <row r="1372" spans="1:10" ht="105" x14ac:dyDescent="0.25">
      <c r="A1372" s="1" t="str">
        <f>"1435-2020/27"</f>
        <v>1435-2020/27</v>
      </c>
      <c r="B1372" s="1" t="str">
        <f t="shared" si="237"/>
        <v>03.03.2020</v>
      </c>
      <c r="C1372" s="1" t="str">
        <f>"На обробці в адмін. органі"</f>
        <v>На обробці в адмін. органі</v>
      </c>
      <c r="D1372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372" s="1" t="str">
        <f>"Будівництво"</f>
        <v>Будівництво</v>
      </c>
      <c r="F137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372" s="1" t="str">
        <f>"10"</f>
        <v>10</v>
      </c>
      <c r="H1372" s="1" t="str">
        <f>""</f>
        <v/>
      </c>
      <c r="I1372" s="1" t="str">
        <f>""</f>
        <v/>
      </c>
      <c r="J1372" s="1" t="str">
        <f>"Ні"</f>
        <v>Ні</v>
      </c>
    </row>
    <row r="1373" spans="1:10" ht="45" x14ac:dyDescent="0.25">
      <c r="A1373" s="1" t="str">
        <f>"1439-2020/27"</f>
        <v>1439-2020/27</v>
      </c>
      <c r="B1373" s="1" t="str">
        <f t="shared" si="237"/>
        <v>03.03.2020</v>
      </c>
      <c r="C1373" s="1" t="str">
        <f t="shared" ref="C1373:C1384" si="238">"Закрито"</f>
        <v>Закрито</v>
      </c>
      <c r="D1373" s="1" t="str">
        <f>"Реєстрація місця проживання особи"</f>
        <v>Реєстрація місця проживання особи</v>
      </c>
      <c r="E1373" s="1" t="str">
        <f>"Реєстрація місця проживання"</f>
        <v>Реєстрація місця проживання</v>
      </c>
      <c r="F1373" s="1" t="str">
        <f>"Відділ реєстрації Новокаховської міської ради"</f>
        <v>Відділ реєстрації Новокаховської міської ради</v>
      </c>
      <c r="G1373" s="1" t="str">
        <f>"1"</f>
        <v>1</v>
      </c>
      <c r="H1373" s="1" t="str">
        <f>"Результат"</f>
        <v>Результат</v>
      </c>
      <c r="I1373" s="1" t="str">
        <f t="shared" ref="I1373:I1384" si="239">"Позитивний"</f>
        <v>Позитивний</v>
      </c>
      <c r="J1373" s="1" t="str">
        <f>"Так"</f>
        <v>Так</v>
      </c>
    </row>
    <row r="1374" spans="1:10" ht="90" x14ac:dyDescent="0.25">
      <c r="A1374" s="1" t="str">
        <f>"1436-2020/27"</f>
        <v>1436-2020/27</v>
      </c>
      <c r="B1374" s="1" t="str">
        <f t="shared" si="237"/>
        <v>03.03.2020</v>
      </c>
      <c r="C1374" s="1" t="str">
        <f t="shared" si="238"/>
        <v>Закрито</v>
      </c>
      <c r="D137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74" s="1" t="str">
        <f>"Інші послуги"</f>
        <v>Інші послуги</v>
      </c>
      <c r="F137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74" s="1" t="str">
        <f>"5"</f>
        <v>5</v>
      </c>
      <c r="H1374" s="1" t="str">
        <f>"Результат"</f>
        <v>Результат</v>
      </c>
      <c r="I1374" s="1" t="str">
        <f t="shared" si="239"/>
        <v>Позитивний</v>
      </c>
      <c r="J1374" s="1" t="str">
        <f>"Ні"</f>
        <v>Ні</v>
      </c>
    </row>
    <row r="1375" spans="1:10" ht="90" x14ac:dyDescent="0.25">
      <c r="A1375" s="1" t="str">
        <f>"1430-2020/27"</f>
        <v>1430-2020/27</v>
      </c>
      <c r="B1375" s="1" t="str">
        <f t="shared" si="237"/>
        <v>03.03.2020</v>
      </c>
      <c r="C1375" s="1" t="str">
        <f t="shared" si="238"/>
        <v>Закрито</v>
      </c>
      <c r="D137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75" s="1" t="str">
        <f>"Інші послуги"</f>
        <v>Інші послуги</v>
      </c>
      <c r="F137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75" s="1" t="str">
        <f>"5"</f>
        <v>5</v>
      </c>
      <c r="H1375" s="1" t="str">
        <f>"Результат"</f>
        <v>Результат</v>
      </c>
      <c r="I1375" s="1" t="str">
        <f t="shared" si="239"/>
        <v>Позитивний</v>
      </c>
      <c r="J1375" s="1" t="str">
        <f>"Ні"</f>
        <v>Ні</v>
      </c>
    </row>
    <row r="1376" spans="1:10" ht="135" x14ac:dyDescent="0.25">
      <c r="A1376" s="1" t="str">
        <f>"1444-2020/27"</f>
        <v>1444-2020/27</v>
      </c>
      <c r="B1376" s="1" t="str">
        <f t="shared" si="237"/>
        <v>03.03.2020</v>
      </c>
      <c r="C1376" s="1" t="str">
        <f t="shared" si="238"/>
        <v>Закрито</v>
      </c>
      <c r="D137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376" s="1" t="str">
        <f>"Земельні питання"</f>
        <v>Земельні питання</v>
      </c>
      <c r="F13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76" s="1" t="str">
        <f>"14"</f>
        <v>14</v>
      </c>
      <c r="H1376" s="1" t="str">
        <f>"Результат"</f>
        <v>Результат</v>
      </c>
      <c r="I1376" s="1" t="str">
        <f t="shared" si="239"/>
        <v>Позитивний</v>
      </c>
      <c r="J1376" s="1" t="str">
        <f>"Ні"</f>
        <v>Ні</v>
      </c>
    </row>
    <row r="1377" spans="1:10" ht="135" x14ac:dyDescent="0.25">
      <c r="A1377" s="1" t="str">
        <f>"1426-2020/27"</f>
        <v>1426-2020/27</v>
      </c>
      <c r="B1377" s="1" t="str">
        <f t="shared" si="237"/>
        <v>03.03.2020</v>
      </c>
      <c r="C1377" s="1" t="str">
        <f t="shared" si="238"/>
        <v>Закрито</v>
      </c>
      <c r="D137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77" s="1" t="str">
        <f>"Земельні питання"</f>
        <v>Земельні питання</v>
      </c>
      <c r="F13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77" s="1" t="str">
        <f>"1"</f>
        <v>1</v>
      </c>
      <c r="H1377" s="1" t="str">
        <f>"Результат"</f>
        <v>Результат</v>
      </c>
      <c r="I1377" s="1" t="str">
        <f t="shared" si="239"/>
        <v>Позитивний</v>
      </c>
      <c r="J1377" s="1" t="str">
        <f>"Так"</f>
        <v>Так</v>
      </c>
    </row>
    <row r="1378" spans="1:10" ht="45" x14ac:dyDescent="0.25">
      <c r="A1378" s="1" t="str">
        <f>"1431-2020/27"</f>
        <v>1431-2020/27</v>
      </c>
      <c r="B1378" s="1" t="str">
        <f t="shared" si="237"/>
        <v>03.03.2020</v>
      </c>
      <c r="C1378" s="1" t="str">
        <f t="shared" si="238"/>
        <v>Закрито</v>
      </c>
      <c r="D1378" s="1" t="str">
        <f>"Реєстрація місця проживання особи"</f>
        <v>Реєстрація місця проживання особи</v>
      </c>
      <c r="E1378" s="1" t="str">
        <f>"Реєстрація місця проживання"</f>
        <v>Реєстрація місця проживання</v>
      </c>
      <c r="F1378" s="1" t="str">
        <f>"Відділ реєстрації Новокаховської міської ради"</f>
        <v>Відділ реєстрації Новокаховської міської ради</v>
      </c>
      <c r="G1378" s="1" t="str">
        <f>"1"</f>
        <v>1</v>
      </c>
      <c r="H1378" s="1" t="str">
        <f>"Результат"</f>
        <v>Результат</v>
      </c>
      <c r="I1378" s="1" t="str">
        <f t="shared" si="239"/>
        <v>Позитивний</v>
      </c>
      <c r="J1378" s="1" t="str">
        <f>"Так"</f>
        <v>Так</v>
      </c>
    </row>
    <row r="1379" spans="1:10" ht="105" x14ac:dyDescent="0.25">
      <c r="A1379" s="1" t="str">
        <f>"1446-2020/27"</f>
        <v>1446-2020/27</v>
      </c>
      <c r="B1379" s="1" t="str">
        <f t="shared" si="237"/>
        <v>03.03.2020</v>
      </c>
      <c r="C1379" s="1" t="str">
        <f t="shared" si="238"/>
        <v>Закрито</v>
      </c>
      <c r="D137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79" s="1" t="str">
        <f>"Земельні питання"</f>
        <v>Земельні питання</v>
      </c>
      <c r="F137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79" s="1" t="str">
        <f>"1"</f>
        <v>1</v>
      </c>
      <c r="H1379" s="1" t="str">
        <f>"Результат"</f>
        <v>Результат</v>
      </c>
      <c r="I1379" s="1" t="str">
        <f t="shared" si="239"/>
        <v>Позитивний</v>
      </c>
      <c r="J1379" s="1" t="str">
        <f>"Так"</f>
        <v>Так</v>
      </c>
    </row>
    <row r="1380" spans="1:10" ht="45" x14ac:dyDescent="0.25">
      <c r="A1380" s="1" t="str">
        <f>"1427-2020/27"</f>
        <v>1427-2020/27</v>
      </c>
      <c r="B1380" s="1" t="str">
        <f t="shared" si="237"/>
        <v>03.03.2020</v>
      </c>
      <c r="C1380" s="1" t="str">
        <f t="shared" si="238"/>
        <v>Закрито</v>
      </c>
      <c r="D1380" s="1" t="str">
        <f>"Зняття з реєстрації місця проживання"</f>
        <v>Зняття з реєстрації місця проживання</v>
      </c>
      <c r="E1380" s="1" t="str">
        <f>"Реєстрація місця проживання"</f>
        <v>Реєстрація місця проживання</v>
      </c>
      <c r="F1380" s="1" t="str">
        <f>"Відділ реєстрації Новокаховської міської ради"</f>
        <v>Відділ реєстрації Новокаховської міської ради</v>
      </c>
      <c r="G1380" s="1" t="str">
        <f>"1"</f>
        <v>1</v>
      </c>
      <c r="H1380" s="1" t="str">
        <f>"Результат"</f>
        <v>Результат</v>
      </c>
      <c r="I1380" s="1" t="str">
        <f t="shared" si="239"/>
        <v>Позитивний</v>
      </c>
      <c r="J1380" s="1" t="str">
        <f>"Так"</f>
        <v>Так</v>
      </c>
    </row>
    <row r="1381" spans="1:10" ht="135" x14ac:dyDescent="0.25">
      <c r="A1381" s="1" t="str">
        <f>"1425-2020/27"</f>
        <v>1425-2020/27</v>
      </c>
      <c r="B1381" s="1" t="str">
        <f t="shared" si="237"/>
        <v>03.03.2020</v>
      </c>
      <c r="C1381" s="1" t="str">
        <f t="shared" si="238"/>
        <v>Закрито</v>
      </c>
      <c r="D138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81" s="1" t="str">
        <f>"Земельні питання"</f>
        <v>Земельні питання</v>
      </c>
      <c r="F13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81" s="1" t="str">
        <f>"3"</f>
        <v>3</v>
      </c>
      <c r="H1381" s="1" t="str">
        <f>"Результат"</f>
        <v>Результат</v>
      </c>
      <c r="I1381" s="1" t="str">
        <f t="shared" si="239"/>
        <v>Позитивний</v>
      </c>
      <c r="J1381" s="1" t="str">
        <f>"Ні"</f>
        <v>Ні</v>
      </c>
    </row>
    <row r="1382" spans="1:10" ht="135" x14ac:dyDescent="0.25">
      <c r="A1382" s="1" t="str">
        <f>"1441-2020/27"</f>
        <v>1441-2020/27</v>
      </c>
      <c r="B1382" s="1" t="str">
        <f t="shared" si="237"/>
        <v>03.03.2020</v>
      </c>
      <c r="C1382" s="1" t="str">
        <f t="shared" si="238"/>
        <v>Закрито</v>
      </c>
      <c r="D138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82" s="1" t="str">
        <f>"Земельні питання"</f>
        <v>Земельні питання</v>
      </c>
      <c r="F13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82" s="1" t="str">
        <f>"1"</f>
        <v>1</v>
      </c>
      <c r="H1382" s="1" t="str">
        <f>"Результат"</f>
        <v>Результат</v>
      </c>
      <c r="I1382" s="1" t="str">
        <f t="shared" si="239"/>
        <v>Позитивний</v>
      </c>
      <c r="J1382" s="1" t="str">
        <f>"Так"</f>
        <v>Так</v>
      </c>
    </row>
    <row r="1383" spans="1:10" ht="135" x14ac:dyDescent="0.25">
      <c r="A1383" s="1" t="str">
        <f>"1424-2020/27"</f>
        <v>1424-2020/27</v>
      </c>
      <c r="B1383" s="1" t="str">
        <f t="shared" si="237"/>
        <v>03.03.2020</v>
      </c>
      <c r="C1383" s="1" t="str">
        <f t="shared" si="238"/>
        <v>Закрито</v>
      </c>
      <c r="D138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383" s="1" t="str">
        <f>"Земельні питання"</f>
        <v>Земельні питання</v>
      </c>
      <c r="F13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83" s="1" t="str">
        <f>"14"</f>
        <v>14</v>
      </c>
      <c r="H1383" s="1" t="str">
        <f>"Результат"</f>
        <v>Результат</v>
      </c>
      <c r="I1383" s="1" t="str">
        <f t="shared" si="239"/>
        <v>Позитивний</v>
      </c>
      <c r="J1383" s="1" t="str">
        <f>"Ні"</f>
        <v>Ні</v>
      </c>
    </row>
    <row r="1384" spans="1:10" ht="45" x14ac:dyDescent="0.25">
      <c r="A1384" s="1" t="str">
        <f>"1437-2020/27"</f>
        <v>1437-2020/27</v>
      </c>
      <c r="B1384" s="1" t="str">
        <f t="shared" si="237"/>
        <v>03.03.2020</v>
      </c>
      <c r="C1384" s="1" t="str">
        <f t="shared" si="238"/>
        <v>Закрито</v>
      </c>
      <c r="D1384" s="1" t="str">
        <f>"Реєстрація місця проживання особи"</f>
        <v>Реєстрація місця проживання особи</v>
      </c>
      <c r="E1384" s="1" t="str">
        <f>"Реєстрація місця проживання"</f>
        <v>Реєстрація місця проживання</v>
      </c>
      <c r="F1384" s="1" t="str">
        <f>"Відділ реєстрації Новокаховської міської ради"</f>
        <v>Відділ реєстрації Новокаховської міської ради</v>
      </c>
      <c r="G1384" s="1" t="str">
        <f>"1"</f>
        <v>1</v>
      </c>
      <c r="H1384" s="1" t="str">
        <f>"Результат"</f>
        <v>Результат</v>
      </c>
      <c r="I1384" s="1" t="str">
        <f t="shared" si="239"/>
        <v>Позитивний</v>
      </c>
      <c r="J1384" s="1" t="str">
        <f>"Так"</f>
        <v>Так</v>
      </c>
    </row>
    <row r="1385" spans="1:10" ht="105" x14ac:dyDescent="0.25">
      <c r="A1385" s="1" t="str">
        <f>"1433-2020/27"</f>
        <v>1433-2020/27</v>
      </c>
      <c r="B1385" s="1" t="str">
        <f t="shared" si="237"/>
        <v>03.03.2020</v>
      </c>
      <c r="C1385" s="1" t="str">
        <f>"На обробці в адмін. органі"</f>
        <v>На обробці в адмін. органі</v>
      </c>
      <c r="D1385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385" s="1" t="str">
        <f>"Будівництво"</f>
        <v>Будівництво</v>
      </c>
      <c r="F138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385" s="1" t="str">
        <f>"10"</f>
        <v>10</v>
      </c>
      <c r="H1385" s="1" t="str">
        <f>""</f>
        <v/>
      </c>
      <c r="I1385" s="1" t="str">
        <f>""</f>
        <v/>
      </c>
      <c r="J1385" s="1" t="str">
        <f>"Ні"</f>
        <v>Ні</v>
      </c>
    </row>
    <row r="1386" spans="1:10" ht="90" x14ac:dyDescent="0.25">
      <c r="A1386" s="1" t="str">
        <f>"1432-2020/27"</f>
        <v>1432-2020/27</v>
      </c>
      <c r="B1386" s="1" t="str">
        <f t="shared" si="237"/>
        <v>03.03.2020</v>
      </c>
      <c r="C1386" s="1" t="str">
        <f t="shared" ref="C1386:C1424" si="240">"Закрито"</f>
        <v>Закрито</v>
      </c>
      <c r="D138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386" s="1" t="str">
        <f>"Інші послуги"</f>
        <v>Інші послуги</v>
      </c>
      <c r="F138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386" s="1" t="str">
        <f>"5"</f>
        <v>5</v>
      </c>
      <c r="H1386" s="1" t="str">
        <f>"Результат"</f>
        <v>Результат</v>
      </c>
      <c r="I1386" s="1" t="str">
        <f t="shared" ref="I1386:I1424" si="241">"Позитивний"</f>
        <v>Позитивний</v>
      </c>
      <c r="J1386" s="1" t="str">
        <f>"Ні"</f>
        <v>Ні</v>
      </c>
    </row>
    <row r="1387" spans="1:10" ht="45" x14ac:dyDescent="0.25">
      <c r="A1387" s="1" t="str">
        <f>"1434-2020/27"</f>
        <v>1434-2020/27</v>
      </c>
      <c r="B1387" s="1" t="str">
        <f t="shared" si="237"/>
        <v>03.03.2020</v>
      </c>
      <c r="C1387" s="1" t="str">
        <f t="shared" si="240"/>
        <v>Закрито</v>
      </c>
      <c r="D1387" s="1" t="str">
        <f>"Зняття з реєстрації місця проживання"</f>
        <v>Зняття з реєстрації місця проживання</v>
      </c>
      <c r="E1387" s="1" t="str">
        <f>"Реєстрація місця проживання"</f>
        <v>Реєстрація місця проживання</v>
      </c>
      <c r="F1387" s="1" t="str">
        <f>"Відділ реєстрації Новокаховської міської ради"</f>
        <v>Відділ реєстрації Новокаховської міської ради</v>
      </c>
      <c r="G1387" s="1" t="str">
        <f>"1"</f>
        <v>1</v>
      </c>
      <c r="H1387" s="1" t="str">
        <f>"Результат"</f>
        <v>Результат</v>
      </c>
      <c r="I1387" s="1" t="str">
        <f t="shared" si="241"/>
        <v>Позитивний</v>
      </c>
      <c r="J1387" s="1" t="str">
        <f>"Так"</f>
        <v>Так</v>
      </c>
    </row>
    <row r="1388" spans="1:10" ht="135" x14ac:dyDescent="0.25">
      <c r="A1388" s="1" t="str">
        <f>"1428-2020/27"</f>
        <v>1428-2020/27</v>
      </c>
      <c r="B1388" s="1" t="str">
        <f t="shared" si="237"/>
        <v>03.03.2020</v>
      </c>
      <c r="C1388" s="1" t="str">
        <f t="shared" si="240"/>
        <v>Закрито</v>
      </c>
      <c r="D138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88" s="1" t="str">
        <f t="shared" ref="E1388:E1394" si="242">"Земельні питання"</f>
        <v>Земельні питання</v>
      </c>
      <c r="F13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88" s="1" t="str">
        <f>"1"</f>
        <v>1</v>
      </c>
      <c r="H1388" s="1" t="str">
        <f>"Результат"</f>
        <v>Результат</v>
      </c>
      <c r="I1388" s="1" t="str">
        <f t="shared" si="241"/>
        <v>Позитивний</v>
      </c>
      <c r="J1388" s="1" t="str">
        <f>"Так"</f>
        <v>Так</v>
      </c>
    </row>
    <row r="1389" spans="1:10" ht="135" x14ac:dyDescent="0.25">
      <c r="A1389" s="1" t="str">
        <f>"1445-2020/27"</f>
        <v>1445-2020/27</v>
      </c>
      <c r="B1389" s="1" t="str">
        <f t="shared" si="237"/>
        <v>03.03.2020</v>
      </c>
      <c r="C1389" s="1" t="str">
        <f t="shared" si="240"/>
        <v>Закрито</v>
      </c>
      <c r="D138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389" s="1" t="str">
        <f t="shared" si="242"/>
        <v>Земельні питання</v>
      </c>
      <c r="F13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89" s="1" t="str">
        <f>"14"</f>
        <v>14</v>
      </c>
      <c r="H1389" s="1" t="str">
        <f>"Результат"</f>
        <v>Результат</v>
      </c>
      <c r="I1389" s="1" t="str">
        <f t="shared" si="241"/>
        <v>Позитивний</v>
      </c>
      <c r="J1389" s="1" t="str">
        <f>"Ні"</f>
        <v>Ні</v>
      </c>
    </row>
    <row r="1390" spans="1:10" ht="135" x14ac:dyDescent="0.25">
      <c r="A1390" s="1" t="str">
        <f>"1438-2020/27"</f>
        <v>1438-2020/27</v>
      </c>
      <c r="B1390" s="1" t="str">
        <f t="shared" si="237"/>
        <v>03.03.2020</v>
      </c>
      <c r="C1390" s="1" t="str">
        <f t="shared" si="240"/>
        <v>Закрито</v>
      </c>
      <c r="D139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390" s="1" t="str">
        <f t="shared" si="242"/>
        <v>Земельні питання</v>
      </c>
      <c r="F13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90" s="1" t="str">
        <f>"14"</f>
        <v>14</v>
      </c>
      <c r="H1390" s="1" t="str">
        <f>"Результат"</f>
        <v>Результат</v>
      </c>
      <c r="I1390" s="1" t="str">
        <f t="shared" si="241"/>
        <v>Позитивний</v>
      </c>
      <c r="J1390" s="1" t="str">
        <f>"Ні"</f>
        <v>Ні</v>
      </c>
    </row>
    <row r="1391" spans="1:10" ht="135" x14ac:dyDescent="0.25">
      <c r="A1391" s="1" t="str">
        <f>"1440-2020/27"</f>
        <v>1440-2020/27</v>
      </c>
      <c r="B1391" s="1" t="str">
        <f t="shared" si="237"/>
        <v>03.03.2020</v>
      </c>
      <c r="C1391" s="1" t="str">
        <f t="shared" si="240"/>
        <v>Закрито</v>
      </c>
      <c r="D13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91" s="1" t="str">
        <f t="shared" si="242"/>
        <v>Земельні питання</v>
      </c>
      <c r="F13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91" s="1" t="str">
        <f>"1"</f>
        <v>1</v>
      </c>
      <c r="H1391" s="1" t="str">
        <f>"Результат"</f>
        <v>Результат</v>
      </c>
      <c r="I1391" s="1" t="str">
        <f t="shared" si="241"/>
        <v>Позитивний</v>
      </c>
      <c r="J1391" s="1" t="str">
        <f>"Так"</f>
        <v>Так</v>
      </c>
    </row>
    <row r="1392" spans="1:10" ht="105" x14ac:dyDescent="0.25">
      <c r="A1392" s="1" t="str">
        <f>"1447-2020/27"</f>
        <v>1447-2020/27</v>
      </c>
      <c r="B1392" s="1" t="str">
        <f t="shared" ref="B1392:B1421" si="243">"04.03.2020"</f>
        <v>04.03.2020</v>
      </c>
      <c r="C1392" s="1" t="str">
        <f t="shared" si="240"/>
        <v>Закрито</v>
      </c>
      <c r="D13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92" s="1" t="str">
        <f t="shared" si="242"/>
        <v>Земельні питання</v>
      </c>
      <c r="F139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392" s="1" t="str">
        <f>"1"</f>
        <v>1</v>
      </c>
      <c r="H1392" s="1" t="str">
        <f>"Результат"</f>
        <v>Результат</v>
      </c>
      <c r="I1392" s="1" t="str">
        <f t="shared" si="241"/>
        <v>Позитивний</v>
      </c>
      <c r="J1392" s="1" t="str">
        <f>"Так"</f>
        <v>Так</v>
      </c>
    </row>
    <row r="1393" spans="1:10" ht="135" x14ac:dyDescent="0.25">
      <c r="A1393" s="1" t="str">
        <f>"1461-2020/27"</f>
        <v>1461-2020/27</v>
      </c>
      <c r="B1393" s="1" t="str">
        <f t="shared" si="243"/>
        <v>04.03.2020</v>
      </c>
      <c r="C1393" s="1" t="str">
        <f t="shared" si="240"/>
        <v>Закрито</v>
      </c>
      <c r="D139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93" s="1" t="str">
        <f t="shared" si="242"/>
        <v>Земельні питання</v>
      </c>
      <c r="F13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93" s="1" t="str">
        <f>"1"</f>
        <v>1</v>
      </c>
      <c r="H1393" s="1" t="str">
        <f>"Результат"</f>
        <v>Результат</v>
      </c>
      <c r="I1393" s="1" t="str">
        <f t="shared" si="241"/>
        <v>Позитивний</v>
      </c>
      <c r="J1393" s="1" t="str">
        <f>"Так"</f>
        <v>Так</v>
      </c>
    </row>
    <row r="1394" spans="1:10" ht="135" x14ac:dyDescent="0.25">
      <c r="A1394" s="1" t="str">
        <f>"1455-2020/27"</f>
        <v>1455-2020/27</v>
      </c>
      <c r="B1394" s="1" t="str">
        <f t="shared" si="243"/>
        <v>04.03.2020</v>
      </c>
      <c r="C1394" s="1" t="str">
        <f t="shared" si="240"/>
        <v>Закрито</v>
      </c>
      <c r="D139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94" s="1" t="str">
        <f t="shared" si="242"/>
        <v>Земельні питання</v>
      </c>
      <c r="F13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94" s="1" t="str">
        <f>"1"</f>
        <v>1</v>
      </c>
      <c r="H1394" s="1" t="str">
        <f>"Результат"</f>
        <v>Результат</v>
      </c>
      <c r="I1394" s="1" t="str">
        <f t="shared" si="241"/>
        <v>Позитивний</v>
      </c>
      <c r="J1394" s="1" t="str">
        <f>"Так"</f>
        <v>Так</v>
      </c>
    </row>
    <row r="1395" spans="1:10" ht="45" x14ac:dyDescent="0.25">
      <c r="A1395" s="1" t="str">
        <f>"1472-2020/27"</f>
        <v>1472-2020/27</v>
      </c>
      <c r="B1395" s="1" t="str">
        <f t="shared" si="243"/>
        <v>04.03.2020</v>
      </c>
      <c r="C1395" s="1" t="str">
        <f t="shared" si="240"/>
        <v>Закрито</v>
      </c>
      <c r="D1395" s="1" t="str">
        <f>"Реєстрація місця проживання особи"</f>
        <v>Реєстрація місця проживання особи</v>
      </c>
      <c r="E1395" s="1" t="str">
        <f>"Реєстрація місця проживання"</f>
        <v>Реєстрація місця проживання</v>
      </c>
      <c r="F1395" s="1" t="str">
        <f>"Відділ реєстрації Новокаховської міської ради"</f>
        <v>Відділ реєстрації Новокаховської міської ради</v>
      </c>
      <c r="G1395" s="1" t="str">
        <f>"1"</f>
        <v>1</v>
      </c>
      <c r="H1395" s="1" t="str">
        <f>"Результат"</f>
        <v>Результат</v>
      </c>
      <c r="I1395" s="1" t="str">
        <f t="shared" si="241"/>
        <v>Позитивний</v>
      </c>
      <c r="J1395" s="1" t="str">
        <f>"Так"</f>
        <v>Так</v>
      </c>
    </row>
    <row r="1396" spans="1:10" ht="135" x14ac:dyDescent="0.25">
      <c r="A1396" s="1" t="str">
        <f>"1474-2020/27"</f>
        <v>1474-2020/27</v>
      </c>
      <c r="B1396" s="1" t="str">
        <f t="shared" si="243"/>
        <v>04.03.2020</v>
      </c>
      <c r="C1396" s="1" t="str">
        <f t="shared" si="240"/>
        <v>Закрито</v>
      </c>
      <c r="D139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396" s="1" t="str">
        <f>"Земельні питання"</f>
        <v>Земельні питання</v>
      </c>
      <c r="F13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96" s="1" t="str">
        <f>"14"</f>
        <v>14</v>
      </c>
      <c r="H1396" s="1" t="str">
        <f>"Результат"</f>
        <v>Результат</v>
      </c>
      <c r="I1396" s="1" t="str">
        <f t="shared" si="241"/>
        <v>Позитивний</v>
      </c>
      <c r="J1396" s="1" t="str">
        <f>"Ні"</f>
        <v>Ні</v>
      </c>
    </row>
    <row r="1397" spans="1:10" ht="135" x14ac:dyDescent="0.25">
      <c r="A1397" s="1" t="str">
        <f>"1449-2020/27"</f>
        <v>1449-2020/27</v>
      </c>
      <c r="B1397" s="1" t="str">
        <f t="shared" si="243"/>
        <v>04.03.2020</v>
      </c>
      <c r="C1397" s="1" t="str">
        <f t="shared" si="240"/>
        <v>Закрито</v>
      </c>
      <c r="D139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397" s="1" t="str">
        <f>"Земельні питання"</f>
        <v>Земельні питання</v>
      </c>
      <c r="F13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97" s="1" t="str">
        <f>"3"</f>
        <v>3</v>
      </c>
      <c r="H1397" s="1" t="str">
        <f>"Результат"</f>
        <v>Результат</v>
      </c>
      <c r="I1397" s="1" t="str">
        <f t="shared" si="241"/>
        <v>Позитивний</v>
      </c>
      <c r="J1397" s="1" t="str">
        <f>"Ні"</f>
        <v>Ні</v>
      </c>
    </row>
    <row r="1398" spans="1:10" ht="135" x14ac:dyDescent="0.25">
      <c r="A1398" s="1" t="str">
        <f>"1460-2020/27"</f>
        <v>1460-2020/27</v>
      </c>
      <c r="B1398" s="1" t="str">
        <f t="shared" si="243"/>
        <v>04.03.2020</v>
      </c>
      <c r="C1398" s="1" t="str">
        <f t="shared" si="240"/>
        <v>Закрито</v>
      </c>
      <c r="D139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398" s="1" t="str">
        <f>"Земельні питання"</f>
        <v>Земельні питання</v>
      </c>
      <c r="F13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398" s="1" t="str">
        <f>"1"</f>
        <v>1</v>
      </c>
      <c r="H1398" s="1" t="str">
        <f>"Результат"</f>
        <v>Результат</v>
      </c>
      <c r="I1398" s="1" t="str">
        <f t="shared" si="241"/>
        <v>Позитивний</v>
      </c>
      <c r="J1398" s="1" t="str">
        <f>"Так"</f>
        <v>Так</v>
      </c>
    </row>
    <row r="1399" spans="1:10" ht="45" x14ac:dyDescent="0.25">
      <c r="A1399" s="1" t="str">
        <f>"1457-2020/27"</f>
        <v>1457-2020/27</v>
      </c>
      <c r="B1399" s="1" t="str">
        <f t="shared" si="243"/>
        <v>04.03.2020</v>
      </c>
      <c r="C1399" s="1" t="str">
        <f t="shared" si="240"/>
        <v>Закрито</v>
      </c>
      <c r="D1399" s="1" t="str">
        <f>"Реєстрація місця проживання особи"</f>
        <v>Реєстрація місця проживання особи</v>
      </c>
      <c r="E1399" s="1" t="str">
        <f>"Реєстрація місця проживання"</f>
        <v>Реєстрація місця проживання</v>
      </c>
      <c r="F1399" s="1" t="str">
        <f>"Відділ реєстрації Новокаховської міської ради"</f>
        <v>Відділ реєстрації Новокаховської міської ради</v>
      </c>
      <c r="G1399" s="1" t="str">
        <f>"1"</f>
        <v>1</v>
      </c>
      <c r="H1399" s="1" t="str">
        <f>"Результат"</f>
        <v>Результат</v>
      </c>
      <c r="I1399" s="1" t="str">
        <f t="shared" si="241"/>
        <v>Позитивний</v>
      </c>
      <c r="J1399" s="1" t="str">
        <f>"Так"</f>
        <v>Так</v>
      </c>
    </row>
    <row r="1400" spans="1:10" ht="135" x14ac:dyDescent="0.25">
      <c r="A1400" s="1" t="str">
        <f>"1451-2020/27"</f>
        <v>1451-2020/27</v>
      </c>
      <c r="B1400" s="1" t="str">
        <f t="shared" si="243"/>
        <v>04.03.2020</v>
      </c>
      <c r="C1400" s="1" t="str">
        <f t="shared" si="240"/>
        <v>Закрито</v>
      </c>
      <c r="D14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00" s="1" t="str">
        <f>"Земельні питання"</f>
        <v>Земельні питання</v>
      </c>
      <c r="F14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00" s="1" t="str">
        <f>"3"</f>
        <v>3</v>
      </c>
      <c r="H1400" s="1" t="str">
        <f>"Результат"</f>
        <v>Результат</v>
      </c>
      <c r="I1400" s="1" t="str">
        <f t="shared" si="241"/>
        <v>Позитивний</v>
      </c>
      <c r="J1400" s="1" t="str">
        <f>"Ні"</f>
        <v>Ні</v>
      </c>
    </row>
    <row r="1401" spans="1:10" ht="45" x14ac:dyDescent="0.25">
      <c r="A1401" s="1" t="str">
        <f>"1463-2020/27"</f>
        <v>1463-2020/27</v>
      </c>
      <c r="B1401" s="1" t="str">
        <f t="shared" si="243"/>
        <v>04.03.2020</v>
      </c>
      <c r="C1401" s="1" t="str">
        <f t="shared" si="240"/>
        <v>Закрито</v>
      </c>
      <c r="D1401" s="1" t="str">
        <f>"Реєстрація місця проживання особи"</f>
        <v>Реєстрація місця проживання особи</v>
      </c>
      <c r="E1401" s="1" t="str">
        <f>"Реєстрація місця проживання"</f>
        <v>Реєстрація місця проживання</v>
      </c>
      <c r="F1401" s="1" t="str">
        <f>"Відділ реєстрації Новокаховської міської ради"</f>
        <v>Відділ реєстрації Новокаховської міської ради</v>
      </c>
      <c r="G1401" s="1" t="str">
        <f>"1"</f>
        <v>1</v>
      </c>
      <c r="H1401" s="1" t="str">
        <f>"Результат"</f>
        <v>Результат</v>
      </c>
      <c r="I1401" s="1" t="str">
        <f t="shared" si="241"/>
        <v>Позитивний</v>
      </c>
      <c r="J1401" s="1" t="str">
        <f>"Так"</f>
        <v>Так</v>
      </c>
    </row>
    <row r="1402" spans="1:10" ht="45" x14ac:dyDescent="0.25">
      <c r="A1402" s="1" t="str">
        <f>"1464-2020/27"</f>
        <v>1464-2020/27</v>
      </c>
      <c r="B1402" s="1" t="str">
        <f t="shared" si="243"/>
        <v>04.03.2020</v>
      </c>
      <c r="C1402" s="1" t="str">
        <f t="shared" si="240"/>
        <v>Закрито</v>
      </c>
      <c r="D1402" s="1" t="str">
        <f>"Зняття з реєстрації місця проживання"</f>
        <v>Зняття з реєстрації місця проживання</v>
      </c>
      <c r="E1402" s="1" t="str">
        <f>"Реєстрація місця проживання"</f>
        <v>Реєстрація місця проживання</v>
      </c>
      <c r="F1402" s="1" t="str">
        <f>"Відділ реєстрації Новокаховської міської ради"</f>
        <v>Відділ реєстрації Новокаховської міської ради</v>
      </c>
      <c r="G1402" s="1" t="str">
        <f>"1"</f>
        <v>1</v>
      </c>
      <c r="H1402" s="1" t="str">
        <f>"Результат"</f>
        <v>Результат</v>
      </c>
      <c r="I1402" s="1" t="str">
        <f t="shared" si="241"/>
        <v>Позитивний</v>
      </c>
      <c r="J1402" s="1" t="str">
        <f>"Так"</f>
        <v>Так</v>
      </c>
    </row>
    <row r="1403" spans="1:10" ht="135" x14ac:dyDescent="0.25">
      <c r="A1403" s="1" t="str">
        <f>"1475-2020/27"</f>
        <v>1475-2020/27</v>
      </c>
      <c r="B1403" s="1" t="str">
        <f t="shared" si="243"/>
        <v>04.03.2020</v>
      </c>
      <c r="C1403" s="1" t="str">
        <f t="shared" si="240"/>
        <v>Закрито</v>
      </c>
      <c r="D140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03" s="1" t="str">
        <f>"Земельні питання"</f>
        <v>Земельні питання</v>
      </c>
      <c r="F14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03" s="1" t="str">
        <f>"3"</f>
        <v>3</v>
      </c>
      <c r="H1403" s="1" t="str">
        <f>"Результат"</f>
        <v>Результат</v>
      </c>
      <c r="I1403" s="1" t="str">
        <f t="shared" si="241"/>
        <v>Позитивний</v>
      </c>
      <c r="J1403" s="1" t="str">
        <f>"Ні"</f>
        <v>Ні</v>
      </c>
    </row>
    <row r="1404" spans="1:10" ht="45" x14ac:dyDescent="0.25">
      <c r="A1404" s="1" t="str">
        <f>"1465-2020/27"</f>
        <v>1465-2020/27</v>
      </c>
      <c r="B1404" s="1" t="str">
        <f t="shared" si="243"/>
        <v>04.03.2020</v>
      </c>
      <c r="C1404" s="1" t="str">
        <f t="shared" si="240"/>
        <v>Закрито</v>
      </c>
      <c r="D1404" s="1" t="str">
        <f>"Реєстрація місця проживання особи"</f>
        <v>Реєстрація місця проживання особи</v>
      </c>
      <c r="E1404" s="1" t="str">
        <f>"Реєстрація місця проживання"</f>
        <v>Реєстрація місця проживання</v>
      </c>
      <c r="F1404" s="1" t="str">
        <f>"Відділ реєстрації Новокаховської міської ради"</f>
        <v>Відділ реєстрації Новокаховської міської ради</v>
      </c>
      <c r="G1404" s="1" t="str">
        <f t="shared" ref="G1404:G1409" si="244">"1"</f>
        <v>1</v>
      </c>
      <c r="H1404" s="1" t="str">
        <f>"Результат"</f>
        <v>Результат</v>
      </c>
      <c r="I1404" s="1" t="str">
        <f t="shared" si="241"/>
        <v>Позитивний</v>
      </c>
      <c r="J1404" s="1" t="str">
        <f t="shared" ref="J1404:J1409" si="245">"Так"</f>
        <v>Так</v>
      </c>
    </row>
    <row r="1405" spans="1:10" ht="135" x14ac:dyDescent="0.25">
      <c r="A1405" s="1" t="str">
        <f>"1456-2020/27"</f>
        <v>1456-2020/27</v>
      </c>
      <c r="B1405" s="1" t="str">
        <f t="shared" si="243"/>
        <v>04.03.2020</v>
      </c>
      <c r="C1405" s="1" t="str">
        <f t="shared" si="240"/>
        <v>Закрито</v>
      </c>
      <c r="D140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05" s="1" t="str">
        <f>"Земельні питання"</f>
        <v>Земельні питання</v>
      </c>
      <c r="F14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05" s="1" t="str">
        <f t="shared" si="244"/>
        <v>1</v>
      </c>
      <c r="H1405" s="1" t="str">
        <f>"Результат"</f>
        <v>Результат</v>
      </c>
      <c r="I1405" s="1" t="str">
        <f t="shared" si="241"/>
        <v>Позитивний</v>
      </c>
      <c r="J1405" s="1" t="str">
        <f t="shared" si="245"/>
        <v>Так</v>
      </c>
    </row>
    <row r="1406" spans="1:10" ht="45" x14ac:dyDescent="0.25">
      <c r="A1406" s="1" t="str">
        <f>"1466-2020/27"</f>
        <v>1466-2020/27</v>
      </c>
      <c r="B1406" s="1" t="str">
        <f t="shared" si="243"/>
        <v>04.03.2020</v>
      </c>
      <c r="C1406" s="1" t="str">
        <f t="shared" si="240"/>
        <v>Закрито</v>
      </c>
      <c r="D1406" s="1" t="str">
        <f>"Реєстрація місця проживання особи"</f>
        <v>Реєстрація місця проживання особи</v>
      </c>
      <c r="E1406" s="1" t="str">
        <f>"Реєстрація місця проживання"</f>
        <v>Реєстрація місця проживання</v>
      </c>
      <c r="F1406" s="1" t="str">
        <f>"Відділ реєстрації Новокаховської міської ради"</f>
        <v>Відділ реєстрації Новокаховської міської ради</v>
      </c>
      <c r="G1406" s="1" t="str">
        <f t="shared" si="244"/>
        <v>1</v>
      </c>
      <c r="H1406" s="1" t="str">
        <f>"Результат"</f>
        <v>Результат</v>
      </c>
      <c r="I1406" s="1" t="str">
        <f t="shared" si="241"/>
        <v>Позитивний</v>
      </c>
      <c r="J1406" s="1" t="str">
        <f t="shared" si="245"/>
        <v>Так</v>
      </c>
    </row>
    <row r="1407" spans="1:10" ht="135" x14ac:dyDescent="0.25">
      <c r="A1407" s="1" t="str">
        <f>"1462-2020/27"</f>
        <v>1462-2020/27</v>
      </c>
      <c r="B1407" s="1" t="str">
        <f t="shared" si="243"/>
        <v>04.03.2020</v>
      </c>
      <c r="C1407" s="1" t="str">
        <f t="shared" si="240"/>
        <v>Закрито</v>
      </c>
      <c r="D140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07" s="1" t="str">
        <f>"Земельні питання"</f>
        <v>Земельні питання</v>
      </c>
      <c r="F14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07" s="1" t="str">
        <f t="shared" si="244"/>
        <v>1</v>
      </c>
      <c r="H1407" s="1" t="str">
        <f>"Результат"</f>
        <v>Результат</v>
      </c>
      <c r="I1407" s="1" t="str">
        <f t="shared" si="241"/>
        <v>Позитивний</v>
      </c>
      <c r="J1407" s="1" t="str">
        <f t="shared" si="245"/>
        <v>Так</v>
      </c>
    </row>
    <row r="1408" spans="1:10" ht="45" x14ac:dyDescent="0.25">
      <c r="A1408" s="1" t="str">
        <f>"1454-2020/27"</f>
        <v>1454-2020/27</v>
      </c>
      <c r="B1408" s="1" t="str">
        <f t="shared" si="243"/>
        <v>04.03.2020</v>
      </c>
      <c r="C1408" s="1" t="str">
        <f t="shared" si="240"/>
        <v>Закрито</v>
      </c>
      <c r="D1408" s="1" t="str">
        <f>"Зняття з реєстрації місця проживання"</f>
        <v>Зняття з реєстрації місця проживання</v>
      </c>
      <c r="E1408" s="1" t="str">
        <f>"Реєстрація місця проживання"</f>
        <v>Реєстрація місця проживання</v>
      </c>
      <c r="F1408" s="1" t="str">
        <f>"Відділ реєстрації Новокаховської міської ради"</f>
        <v>Відділ реєстрації Новокаховської міської ради</v>
      </c>
      <c r="G1408" s="1" t="str">
        <f t="shared" si="244"/>
        <v>1</v>
      </c>
      <c r="H1408" s="1" t="str">
        <f>"Результат"</f>
        <v>Результат</v>
      </c>
      <c r="I1408" s="1" t="str">
        <f t="shared" si="241"/>
        <v>Позитивний</v>
      </c>
      <c r="J1408" s="1" t="str">
        <f t="shared" si="245"/>
        <v>Так</v>
      </c>
    </row>
    <row r="1409" spans="1:10" ht="45" x14ac:dyDescent="0.25">
      <c r="A1409" s="1" t="str">
        <f>"1469-2020/27"</f>
        <v>1469-2020/27</v>
      </c>
      <c r="B1409" s="1" t="str">
        <f t="shared" si="243"/>
        <v>04.03.2020</v>
      </c>
      <c r="C1409" s="1" t="str">
        <f t="shared" si="240"/>
        <v>Закрито</v>
      </c>
      <c r="D1409" s="1" t="str">
        <f>"Реєстрація місця проживання особи"</f>
        <v>Реєстрація місця проживання особи</v>
      </c>
      <c r="E1409" s="1" t="str">
        <f>"Реєстрація місця проживання"</f>
        <v>Реєстрація місця проживання</v>
      </c>
      <c r="F1409" s="1" t="str">
        <f>"Відділ реєстрації Новокаховської міської ради"</f>
        <v>Відділ реєстрації Новокаховської міської ради</v>
      </c>
      <c r="G1409" s="1" t="str">
        <f t="shared" si="244"/>
        <v>1</v>
      </c>
      <c r="H1409" s="1" t="str">
        <f>"Результат"</f>
        <v>Результат</v>
      </c>
      <c r="I1409" s="1" t="str">
        <f t="shared" si="241"/>
        <v>Позитивний</v>
      </c>
      <c r="J1409" s="1" t="str">
        <f t="shared" si="245"/>
        <v>Так</v>
      </c>
    </row>
    <row r="1410" spans="1:10" ht="90" x14ac:dyDescent="0.25">
      <c r="A1410" s="1" t="str">
        <f>"1468-2020/27"</f>
        <v>1468-2020/27</v>
      </c>
      <c r="B1410" s="1" t="str">
        <f t="shared" si="243"/>
        <v>04.03.2020</v>
      </c>
      <c r="C1410" s="1" t="str">
        <f t="shared" si="240"/>
        <v>Закрито</v>
      </c>
      <c r="D141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10" s="1" t="str">
        <f>"Інші послуги"</f>
        <v>Інші послуги</v>
      </c>
      <c r="F141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10" s="1" t="str">
        <f>"5"</f>
        <v>5</v>
      </c>
      <c r="H1410" s="1" t="str">
        <f>"Результат"</f>
        <v>Результат</v>
      </c>
      <c r="I1410" s="1" t="str">
        <f t="shared" si="241"/>
        <v>Позитивний</v>
      </c>
      <c r="J1410" s="1" t="str">
        <f>"Ні"</f>
        <v>Ні</v>
      </c>
    </row>
    <row r="1411" spans="1:10" ht="135" x14ac:dyDescent="0.25">
      <c r="A1411" s="1" t="str">
        <f>"1453-2020/27"</f>
        <v>1453-2020/27</v>
      </c>
      <c r="B1411" s="1" t="str">
        <f t="shared" si="243"/>
        <v>04.03.2020</v>
      </c>
      <c r="C1411" s="1" t="str">
        <f t="shared" si="240"/>
        <v>Закрито</v>
      </c>
      <c r="D14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11" s="1" t="str">
        <f>"Земельні питання"</f>
        <v>Земельні питання</v>
      </c>
      <c r="F14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11" s="1" t="str">
        <f>"3"</f>
        <v>3</v>
      </c>
      <c r="H1411" s="1" t="str">
        <f>"Результат"</f>
        <v>Результат</v>
      </c>
      <c r="I1411" s="1" t="str">
        <f t="shared" si="241"/>
        <v>Позитивний</v>
      </c>
      <c r="J1411" s="1" t="str">
        <f>"Ні"</f>
        <v>Ні</v>
      </c>
    </row>
    <row r="1412" spans="1:10" ht="105" x14ac:dyDescent="0.25">
      <c r="A1412" s="1" t="str">
        <f>"1452-2020/27"</f>
        <v>1452-2020/27</v>
      </c>
      <c r="B1412" s="1" t="str">
        <f t="shared" si="243"/>
        <v>04.03.2020</v>
      </c>
      <c r="C1412" s="1" t="str">
        <f t="shared" si="240"/>
        <v>Закрито</v>
      </c>
      <c r="D141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12" s="1" t="str">
        <f>"Земельні питання"</f>
        <v>Земельні питання</v>
      </c>
      <c r="F141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412" s="1" t="str">
        <f>"1"</f>
        <v>1</v>
      </c>
      <c r="H1412" s="1" t="str">
        <f>"Результат"</f>
        <v>Результат</v>
      </c>
      <c r="I1412" s="1" t="str">
        <f t="shared" si="241"/>
        <v>Позитивний</v>
      </c>
      <c r="J1412" s="1" t="str">
        <f>"Так"</f>
        <v>Так</v>
      </c>
    </row>
    <row r="1413" spans="1:10" ht="135" x14ac:dyDescent="0.25">
      <c r="A1413" s="1" t="str">
        <f>"1450-2020/27"</f>
        <v>1450-2020/27</v>
      </c>
      <c r="B1413" s="1" t="str">
        <f t="shared" si="243"/>
        <v>04.03.2020</v>
      </c>
      <c r="C1413" s="1" t="str">
        <f t="shared" si="240"/>
        <v>Закрито</v>
      </c>
      <c r="D14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13" s="1" t="str">
        <f>"Земельні питання"</f>
        <v>Земельні питання</v>
      </c>
      <c r="F14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13" s="1" t="str">
        <f>"3"</f>
        <v>3</v>
      </c>
      <c r="H1413" s="1" t="str">
        <f>"Результат"</f>
        <v>Результат</v>
      </c>
      <c r="I1413" s="1" t="str">
        <f t="shared" si="241"/>
        <v>Позитивний</v>
      </c>
      <c r="J1413" s="1" t="str">
        <f>"Ні"</f>
        <v>Ні</v>
      </c>
    </row>
    <row r="1414" spans="1:10" ht="45" x14ac:dyDescent="0.25">
      <c r="A1414" s="1" t="str">
        <f>"1459-2020/27"</f>
        <v>1459-2020/27</v>
      </c>
      <c r="B1414" s="1" t="str">
        <f t="shared" si="243"/>
        <v>04.03.2020</v>
      </c>
      <c r="C1414" s="1" t="str">
        <f t="shared" si="240"/>
        <v>Закрито</v>
      </c>
      <c r="D1414" s="1" t="str">
        <f>"Реєстрація місця проживання особи"</f>
        <v>Реєстрація місця проживання особи</v>
      </c>
      <c r="E1414" s="1" t="str">
        <f>"Реєстрація місця проживання"</f>
        <v>Реєстрація місця проживання</v>
      </c>
      <c r="F1414" s="1" t="str">
        <f>"Відділ реєстрації Новокаховської міської ради"</f>
        <v>Відділ реєстрації Новокаховської міської ради</v>
      </c>
      <c r="G1414" s="1" t="str">
        <f t="shared" ref="G1414:G1421" si="246">"1"</f>
        <v>1</v>
      </c>
      <c r="H1414" s="1" t="str">
        <f>"Результат"</f>
        <v>Результат</v>
      </c>
      <c r="I1414" s="1" t="str">
        <f t="shared" si="241"/>
        <v>Позитивний</v>
      </c>
      <c r="J1414" s="1" t="str">
        <f t="shared" ref="J1414:J1421" si="247">"Так"</f>
        <v>Так</v>
      </c>
    </row>
    <row r="1415" spans="1:10" ht="135" x14ac:dyDescent="0.25">
      <c r="A1415" s="1" t="str">
        <f>"1458-2020/27"</f>
        <v>1458-2020/27</v>
      </c>
      <c r="B1415" s="1" t="str">
        <f t="shared" si="243"/>
        <v>04.03.2020</v>
      </c>
      <c r="C1415" s="1" t="str">
        <f t="shared" si="240"/>
        <v>Закрито</v>
      </c>
      <c r="D14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15" s="1" t="str">
        <f>"Земельні питання"</f>
        <v>Земельні питання</v>
      </c>
      <c r="F14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15" s="1" t="str">
        <f t="shared" si="246"/>
        <v>1</v>
      </c>
      <c r="H1415" s="1" t="str">
        <f>"Результат"</f>
        <v>Результат</v>
      </c>
      <c r="I1415" s="1" t="str">
        <f t="shared" si="241"/>
        <v>Позитивний</v>
      </c>
      <c r="J1415" s="1" t="str">
        <f t="shared" si="247"/>
        <v>Так</v>
      </c>
    </row>
    <row r="1416" spans="1:10" ht="105" x14ac:dyDescent="0.25">
      <c r="A1416" s="1" t="str">
        <f>"1448-2020/27"</f>
        <v>1448-2020/27</v>
      </c>
      <c r="B1416" s="1" t="str">
        <f t="shared" si="243"/>
        <v>04.03.2020</v>
      </c>
      <c r="C1416" s="1" t="str">
        <f t="shared" si="240"/>
        <v>Закрито</v>
      </c>
      <c r="D141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16" s="1" t="str">
        <f>"Земельні питання"</f>
        <v>Земельні питання</v>
      </c>
      <c r="F141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416" s="1" t="str">
        <f t="shared" si="246"/>
        <v>1</v>
      </c>
      <c r="H1416" s="1" t="str">
        <f>"Результат"</f>
        <v>Результат</v>
      </c>
      <c r="I1416" s="1" t="str">
        <f t="shared" si="241"/>
        <v>Позитивний</v>
      </c>
      <c r="J1416" s="1" t="str">
        <f t="shared" si="247"/>
        <v>Так</v>
      </c>
    </row>
    <row r="1417" spans="1:10" ht="45" x14ac:dyDescent="0.25">
      <c r="A1417" s="1" t="str">
        <f>"1476-2020/27"</f>
        <v>1476-2020/27</v>
      </c>
      <c r="B1417" s="1" t="str">
        <f t="shared" si="243"/>
        <v>04.03.2020</v>
      </c>
      <c r="C1417" s="1" t="str">
        <f t="shared" si="240"/>
        <v>Закрито</v>
      </c>
      <c r="D1417" s="1" t="str">
        <f>"Зняття з реєстрації місця проживання"</f>
        <v>Зняття з реєстрації місця проживання</v>
      </c>
      <c r="E1417" s="1" t="str">
        <f>"Реєстрація місця проживання"</f>
        <v>Реєстрація місця проживання</v>
      </c>
      <c r="F1417" s="1" t="str">
        <f>"Відділ реєстрації Новокаховської міської ради"</f>
        <v>Відділ реєстрації Новокаховської міської ради</v>
      </c>
      <c r="G1417" s="1" t="str">
        <f t="shared" si="246"/>
        <v>1</v>
      </c>
      <c r="H1417" s="1" t="str">
        <f>"Результат"</f>
        <v>Результат</v>
      </c>
      <c r="I1417" s="1" t="str">
        <f t="shared" si="241"/>
        <v>Позитивний</v>
      </c>
      <c r="J1417" s="1" t="str">
        <f t="shared" si="247"/>
        <v>Так</v>
      </c>
    </row>
    <row r="1418" spans="1:10" ht="135" x14ac:dyDescent="0.25">
      <c r="A1418" s="1" t="str">
        <f>"1473-2020/27"</f>
        <v>1473-2020/27</v>
      </c>
      <c r="B1418" s="1" t="str">
        <f t="shared" si="243"/>
        <v>04.03.2020</v>
      </c>
      <c r="C1418" s="1" t="str">
        <f t="shared" si="240"/>
        <v>Закрито</v>
      </c>
      <c r="D141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18" s="1" t="str">
        <f>"Земельні питання"</f>
        <v>Земельні питання</v>
      </c>
      <c r="F14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18" s="1" t="str">
        <f t="shared" si="246"/>
        <v>1</v>
      </c>
      <c r="H1418" s="1" t="str">
        <f>"Результат"</f>
        <v>Результат</v>
      </c>
      <c r="I1418" s="1" t="str">
        <f t="shared" si="241"/>
        <v>Позитивний</v>
      </c>
      <c r="J1418" s="1" t="str">
        <f t="shared" si="247"/>
        <v>Так</v>
      </c>
    </row>
    <row r="1419" spans="1:10" ht="45" x14ac:dyDescent="0.25">
      <c r="A1419" s="1" t="str">
        <f>"1470-2020/27"</f>
        <v>1470-2020/27</v>
      </c>
      <c r="B1419" s="1" t="str">
        <f t="shared" si="243"/>
        <v>04.03.2020</v>
      </c>
      <c r="C1419" s="1" t="str">
        <f t="shared" si="240"/>
        <v>Закрито</v>
      </c>
      <c r="D1419" s="1" t="str">
        <f>"Реєстрація місця проживання особи"</f>
        <v>Реєстрація місця проживання особи</v>
      </c>
      <c r="E1419" s="1" t="str">
        <f>"Реєстрація місця проживання"</f>
        <v>Реєстрація місця проживання</v>
      </c>
      <c r="F1419" s="1" t="str">
        <f>"Відділ реєстрації Новокаховської міської ради"</f>
        <v>Відділ реєстрації Новокаховської міської ради</v>
      </c>
      <c r="G1419" s="1" t="str">
        <f t="shared" si="246"/>
        <v>1</v>
      </c>
      <c r="H1419" s="1" t="str">
        <f>"Результат"</f>
        <v>Результат</v>
      </c>
      <c r="I1419" s="1" t="str">
        <f t="shared" si="241"/>
        <v>Позитивний</v>
      </c>
      <c r="J1419" s="1" t="str">
        <f t="shared" si="247"/>
        <v>Так</v>
      </c>
    </row>
    <row r="1420" spans="1:10" ht="45" x14ac:dyDescent="0.25">
      <c r="A1420" s="1" t="str">
        <f>"1467-2020/27"</f>
        <v>1467-2020/27</v>
      </c>
      <c r="B1420" s="1" t="str">
        <f t="shared" si="243"/>
        <v>04.03.2020</v>
      </c>
      <c r="C1420" s="1" t="str">
        <f t="shared" si="240"/>
        <v>Закрито</v>
      </c>
      <c r="D1420" s="1" t="str">
        <f>"Реєстрація місця проживання особи"</f>
        <v>Реєстрація місця проживання особи</v>
      </c>
      <c r="E1420" s="1" t="str">
        <f>"Реєстрація місця проживання"</f>
        <v>Реєстрація місця проживання</v>
      </c>
      <c r="F1420" s="1" t="str">
        <f>"Відділ реєстрації Новокаховської міської ради"</f>
        <v>Відділ реєстрації Новокаховської міської ради</v>
      </c>
      <c r="G1420" s="1" t="str">
        <f t="shared" si="246"/>
        <v>1</v>
      </c>
      <c r="H1420" s="1" t="str">
        <f>"Результат"</f>
        <v>Результат</v>
      </c>
      <c r="I1420" s="1" t="str">
        <f t="shared" si="241"/>
        <v>Позитивний</v>
      </c>
      <c r="J1420" s="1" t="str">
        <f t="shared" si="247"/>
        <v>Так</v>
      </c>
    </row>
    <row r="1421" spans="1:10" ht="45" x14ac:dyDescent="0.25">
      <c r="A1421" s="1" t="str">
        <f>"1471-2020/27"</f>
        <v>1471-2020/27</v>
      </c>
      <c r="B1421" s="1" t="str">
        <f t="shared" si="243"/>
        <v>04.03.2020</v>
      </c>
      <c r="C1421" s="1" t="str">
        <f t="shared" si="240"/>
        <v>Закрито</v>
      </c>
      <c r="D1421" s="1" t="str">
        <f>"Реєстрація місця проживання особи"</f>
        <v>Реєстрація місця проживання особи</v>
      </c>
      <c r="E1421" s="1" t="str">
        <f>"Реєстрація місця проживання"</f>
        <v>Реєстрація місця проживання</v>
      </c>
      <c r="F1421" s="1" t="str">
        <f>"Відділ реєстрації Новокаховської міської ради"</f>
        <v>Відділ реєстрації Новокаховської міської ради</v>
      </c>
      <c r="G1421" s="1" t="str">
        <f t="shared" si="246"/>
        <v>1</v>
      </c>
      <c r="H1421" s="1" t="str">
        <f>"Результат"</f>
        <v>Результат</v>
      </c>
      <c r="I1421" s="1" t="str">
        <f t="shared" si="241"/>
        <v>Позитивний</v>
      </c>
      <c r="J1421" s="1" t="str">
        <f t="shared" si="247"/>
        <v>Так</v>
      </c>
    </row>
    <row r="1422" spans="1:10" ht="135" x14ac:dyDescent="0.25">
      <c r="A1422" s="1" t="str">
        <f>"1477-2020/27"</f>
        <v>1477-2020/27</v>
      </c>
      <c r="B1422" s="1" t="str">
        <f t="shared" ref="B1422:B1449" si="248">"05.03.2020"</f>
        <v>05.03.2020</v>
      </c>
      <c r="C1422" s="1" t="str">
        <f t="shared" si="240"/>
        <v>Закрито</v>
      </c>
      <c r="D142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22" s="1" t="str">
        <f>"Земельні питання"</f>
        <v>Земельні питання</v>
      </c>
      <c r="F14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22" s="1" t="str">
        <f>"3"</f>
        <v>3</v>
      </c>
      <c r="H1422" s="1" t="str">
        <f>"Результат"</f>
        <v>Результат</v>
      </c>
      <c r="I1422" s="1" t="str">
        <f t="shared" si="241"/>
        <v>Позитивний</v>
      </c>
      <c r="J1422" s="1" t="str">
        <f>"Ні"</f>
        <v>Ні</v>
      </c>
    </row>
    <row r="1423" spans="1:10" ht="135" x14ac:dyDescent="0.25">
      <c r="A1423" s="1" t="str">
        <f>"1501-2020/27"</f>
        <v>1501-2020/27</v>
      </c>
      <c r="B1423" s="1" t="str">
        <f t="shared" si="248"/>
        <v>05.03.2020</v>
      </c>
      <c r="C1423" s="1" t="str">
        <f t="shared" si="240"/>
        <v>Закрито</v>
      </c>
      <c r="D14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23" s="1" t="str">
        <f>"Земельні питання"</f>
        <v>Земельні питання</v>
      </c>
      <c r="F14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23" s="1" t="str">
        <f>"1"</f>
        <v>1</v>
      </c>
      <c r="H1423" s="1" t="str">
        <f>"Результат"</f>
        <v>Результат</v>
      </c>
      <c r="I1423" s="1" t="str">
        <f t="shared" si="241"/>
        <v>Позитивний</v>
      </c>
      <c r="J1423" s="1" t="str">
        <f>"Так"</f>
        <v>Так</v>
      </c>
    </row>
    <row r="1424" spans="1:10" ht="90" x14ac:dyDescent="0.25">
      <c r="A1424" s="1" t="str">
        <f>"1496-2020/27"</f>
        <v>1496-2020/27</v>
      </c>
      <c r="B1424" s="1" t="str">
        <f t="shared" si="248"/>
        <v>05.03.2020</v>
      </c>
      <c r="C1424" s="1" t="str">
        <f t="shared" si="240"/>
        <v>Закрито</v>
      </c>
      <c r="D142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24" s="1" t="str">
        <f>"Інші послуги"</f>
        <v>Інші послуги</v>
      </c>
      <c r="F142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24" s="1" t="str">
        <f>"5"</f>
        <v>5</v>
      </c>
      <c r="H1424" s="1" t="str">
        <f>"Результат"</f>
        <v>Результат</v>
      </c>
      <c r="I1424" s="1" t="str">
        <f t="shared" si="241"/>
        <v>Позитивний</v>
      </c>
      <c r="J1424" s="1" t="str">
        <f>"Ні"</f>
        <v>Ні</v>
      </c>
    </row>
    <row r="1425" spans="1:10" ht="120" x14ac:dyDescent="0.25">
      <c r="A1425" s="1" t="str">
        <f>"1491-2020/27"</f>
        <v>1491-2020/27</v>
      </c>
      <c r="B1425" s="1" t="str">
        <f t="shared" si="248"/>
        <v>05.03.2020</v>
      </c>
      <c r="C1425" s="1" t="str">
        <f>"На обробці в адмін. органі"</f>
        <v>На обробці в адмін. органі</v>
      </c>
      <c r="D142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25" s="1" t="str">
        <f>"Будівництво"</f>
        <v>Будівництво</v>
      </c>
      <c r="F142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25" s="1" t="str">
        <f>"10"</f>
        <v>10</v>
      </c>
      <c r="H1425" s="1" t="str">
        <f>""</f>
        <v/>
      </c>
      <c r="I1425" s="1" t="str">
        <f>""</f>
        <v/>
      </c>
      <c r="J1425" s="1" t="str">
        <f>"Ні"</f>
        <v>Ні</v>
      </c>
    </row>
    <row r="1426" spans="1:10" ht="135" x14ac:dyDescent="0.25">
      <c r="A1426" s="1" t="str">
        <f>"1494-2020/27"</f>
        <v>1494-2020/27</v>
      </c>
      <c r="B1426" s="1" t="str">
        <f t="shared" si="248"/>
        <v>05.03.2020</v>
      </c>
      <c r="C1426" s="1" t="str">
        <f>"Закрито"</f>
        <v>Закрито</v>
      </c>
      <c r="D142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426" s="1" t="str">
        <f>"Земельні питання"</f>
        <v>Земельні питання</v>
      </c>
      <c r="F14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26" s="1" t="str">
        <f>"14"</f>
        <v>14</v>
      </c>
      <c r="H1426" s="1" t="str">
        <f>"Результат"</f>
        <v>Результат</v>
      </c>
      <c r="I1426" s="1" t="str">
        <f>"Позитивний"</f>
        <v>Позитивний</v>
      </c>
      <c r="J1426" s="1" t="str">
        <f>"Ні"</f>
        <v>Ні</v>
      </c>
    </row>
    <row r="1427" spans="1:10" ht="135" x14ac:dyDescent="0.25">
      <c r="A1427" s="1" t="str">
        <f>"1490-2020/27"</f>
        <v>1490-2020/27</v>
      </c>
      <c r="B1427" s="1" t="str">
        <f t="shared" si="248"/>
        <v>05.03.2020</v>
      </c>
      <c r="C1427" s="1" t="str">
        <f>"На обробці в адмін. органі"</f>
        <v>На обробці в адмін. органі</v>
      </c>
      <c r="D1427" s="1" t="str">
        <f>"Реєстрація декларації про готовність об’єкта до експлуатації (щодо самочинно збудованого нерухомого майна, на яке визнано право власності за рішенням суду)"</f>
        <v>Реєстрація декларації про готовність об’єкта до експлуатації (щодо самочинно збудованого нерухомого майна, на яке визнано право власності за рішенням суду)</v>
      </c>
      <c r="E1427" s="1" t="str">
        <f>"Будівництво"</f>
        <v>Будівництво</v>
      </c>
      <c r="F142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27" s="1" t="str">
        <f>"10"</f>
        <v>10</v>
      </c>
      <c r="H1427" s="1" t="str">
        <f>""</f>
        <v/>
      </c>
      <c r="I1427" s="1" t="str">
        <f>""</f>
        <v/>
      </c>
      <c r="J1427" s="1" t="str">
        <f>"Ні"</f>
        <v>Ні</v>
      </c>
    </row>
    <row r="1428" spans="1:10" ht="135" x14ac:dyDescent="0.25">
      <c r="A1428" s="1" t="str">
        <f>"1504-2020/27"</f>
        <v>1504-2020/27</v>
      </c>
      <c r="B1428" s="1" t="str">
        <f t="shared" si="248"/>
        <v>05.03.2020</v>
      </c>
      <c r="C1428" s="1" t="str">
        <f>"Закрито"</f>
        <v>Закрито</v>
      </c>
      <c r="D14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28" s="1" t="str">
        <f>"Земельні питання"</f>
        <v>Земельні питання</v>
      </c>
      <c r="F14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28" s="1" t="str">
        <f>"1"</f>
        <v>1</v>
      </c>
      <c r="H1428" s="1" t="str">
        <f>"Результат"</f>
        <v>Результат</v>
      </c>
      <c r="I1428" s="1" t="str">
        <f>"Позитивний"</f>
        <v>Позитивний</v>
      </c>
      <c r="J1428" s="1" t="str">
        <f>"Так"</f>
        <v>Так</v>
      </c>
    </row>
    <row r="1429" spans="1:10" ht="120" x14ac:dyDescent="0.25">
      <c r="A1429" s="1" t="str">
        <f>"1482-2020/27"</f>
        <v>1482-2020/27</v>
      </c>
      <c r="B1429" s="1" t="str">
        <f t="shared" si="248"/>
        <v>05.03.2020</v>
      </c>
      <c r="C1429" s="1" t="str">
        <f>"На обробці в адмін. органі"</f>
        <v>На обробці в адмін. органі</v>
      </c>
      <c r="D1429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29" s="1" t="str">
        <f>"Будівництво"</f>
        <v>Будівництво</v>
      </c>
      <c r="F142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29" s="1" t="str">
        <f>"10"</f>
        <v>10</v>
      </c>
      <c r="H1429" s="1" t="str">
        <f>""</f>
        <v/>
      </c>
      <c r="I1429" s="1" t="str">
        <f>""</f>
        <v/>
      </c>
      <c r="J1429" s="1" t="str">
        <f>"Ні"</f>
        <v>Ні</v>
      </c>
    </row>
    <row r="1430" spans="1:10" ht="225" x14ac:dyDescent="0.25">
      <c r="A1430" s="1" t="str">
        <f>"1492-2020/27"</f>
        <v>1492-2020/27</v>
      </c>
      <c r="B1430" s="1" t="str">
        <f t="shared" si="248"/>
        <v>05.03.2020</v>
      </c>
      <c r="C1430" s="1" t="str">
        <f>"На обробці в адмін. органі"</f>
        <v>На обробці в адмін. органі</v>
      </c>
      <c r="D1430" s="1" t="s">
        <v>0</v>
      </c>
      <c r="E1430" s="1" t="str">
        <f>"Будівництво"</f>
        <v>Будівництво</v>
      </c>
      <c r="F143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30" s="1" t="str">
        <f>"10"</f>
        <v>10</v>
      </c>
      <c r="H1430" s="1" t="str">
        <f>""</f>
        <v/>
      </c>
      <c r="I1430" s="1" t="str">
        <f>""</f>
        <v/>
      </c>
      <c r="J1430" s="1" t="str">
        <f>"Ні"</f>
        <v>Ні</v>
      </c>
    </row>
    <row r="1431" spans="1:10" ht="135" x14ac:dyDescent="0.25">
      <c r="A1431" s="1" t="str">
        <f>"1500-2020/27"</f>
        <v>1500-2020/27</v>
      </c>
      <c r="B1431" s="1" t="str">
        <f t="shared" si="248"/>
        <v>05.03.2020</v>
      </c>
      <c r="C1431" s="1" t="str">
        <f>"Закрито"</f>
        <v>Закрито</v>
      </c>
      <c r="D143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31" s="1" t="str">
        <f>"Земельні питання"</f>
        <v>Земельні питання</v>
      </c>
      <c r="F14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31" s="1" t="str">
        <f>"3"</f>
        <v>3</v>
      </c>
      <c r="H1431" s="1" t="str">
        <f>"Результат"</f>
        <v>Результат</v>
      </c>
      <c r="I1431" s="1" t="str">
        <f>"Позитивний"</f>
        <v>Позитивний</v>
      </c>
      <c r="J1431" s="1" t="str">
        <f>"Ні"</f>
        <v>Ні</v>
      </c>
    </row>
    <row r="1432" spans="1:10" ht="45" x14ac:dyDescent="0.25">
      <c r="A1432" s="1" t="str">
        <f>"1478-2020/27"</f>
        <v>1478-2020/27</v>
      </c>
      <c r="B1432" s="1" t="str">
        <f t="shared" si="248"/>
        <v>05.03.2020</v>
      </c>
      <c r="C1432" s="1" t="str">
        <f>"Закрито"</f>
        <v>Закрито</v>
      </c>
      <c r="D1432" s="1" t="str">
        <f>"Реєстрація місця проживання особи"</f>
        <v>Реєстрація місця проживання особи</v>
      </c>
      <c r="E1432" s="1" t="str">
        <f>"Реєстрація місця проживання"</f>
        <v>Реєстрація місця проживання</v>
      </c>
      <c r="F1432" s="1" t="str">
        <f>"Відділ реєстрації Новокаховської міської ради"</f>
        <v>Відділ реєстрації Новокаховської міської ради</v>
      </c>
      <c r="G1432" s="1" t="str">
        <f>"1"</f>
        <v>1</v>
      </c>
      <c r="H1432" s="1" t="str">
        <f>"Результат"</f>
        <v>Результат</v>
      </c>
      <c r="I1432" s="1" t="str">
        <f>"Мотивована відмова"</f>
        <v>Мотивована відмова</v>
      </c>
      <c r="J1432" s="1" t="str">
        <f>"Так"</f>
        <v>Так</v>
      </c>
    </row>
    <row r="1433" spans="1:10" ht="90" x14ac:dyDescent="0.25">
      <c r="A1433" s="1" t="str">
        <f>"1502-2020/27"</f>
        <v>1502-2020/27</v>
      </c>
      <c r="B1433" s="1" t="str">
        <f t="shared" si="248"/>
        <v>05.03.2020</v>
      </c>
      <c r="C1433" s="1" t="str">
        <f>"Закрито"</f>
        <v>Закрито</v>
      </c>
      <c r="D143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33" s="1" t="str">
        <f>"Інші послуги"</f>
        <v>Інші послуги</v>
      </c>
      <c r="F143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33" s="1" t="str">
        <f>"5"</f>
        <v>5</v>
      </c>
      <c r="H1433" s="1" t="str">
        <f>"Результат"</f>
        <v>Результат</v>
      </c>
      <c r="I1433" s="1" t="str">
        <f>"Позитивний"</f>
        <v>Позитивний</v>
      </c>
      <c r="J1433" s="1" t="str">
        <f>"Ні"</f>
        <v>Ні</v>
      </c>
    </row>
    <row r="1434" spans="1:10" ht="90" x14ac:dyDescent="0.25">
      <c r="A1434" s="1" t="str">
        <f>"1499-2020/27"</f>
        <v>1499-2020/27</v>
      </c>
      <c r="B1434" s="1" t="str">
        <f t="shared" si="248"/>
        <v>05.03.2020</v>
      </c>
      <c r="C1434" s="1" t="str">
        <f>"Закрито"</f>
        <v>Закрито</v>
      </c>
      <c r="D143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34" s="1" t="str">
        <f>"Інші послуги"</f>
        <v>Інші послуги</v>
      </c>
      <c r="F143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34" s="1" t="str">
        <f>"5"</f>
        <v>5</v>
      </c>
      <c r="H1434" s="1" t="str">
        <f>"Результат"</f>
        <v>Результат</v>
      </c>
      <c r="I1434" s="1" t="str">
        <f>"Позитивний"</f>
        <v>Позитивний</v>
      </c>
      <c r="J1434" s="1" t="str">
        <f>"Ні"</f>
        <v>Ні</v>
      </c>
    </row>
    <row r="1435" spans="1:10" ht="120" x14ac:dyDescent="0.25">
      <c r="A1435" s="1" t="str">
        <f>"1493-2020/27"</f>
        <v>1493-2020/27</v>
      </c>
      <c r="B1435" s="1" t="str">
        <f t="shared" si="248"/>
        <v>05.03.2020</v>
      </c>
      <c r="C1435" s="1" t="str">
        <f>"На обробці в адмін. органі"</f>
        <v>На обробці в адмін. органі</v>
      </c>
      <c r="D143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35" s="1" t="str">
        <f>"Будівництво"</f>
        <v>Будівництво</v>
      </c>
      <c r="F143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35" s="1" t="str">
        <f>"10"</f>
        <v>10</v>
      </c>
      <c r="H1435" s="1" t="str">
        <f>""</f>
        <v/>
      </c>
      <c r="I1435" s="1" t="str">
        <f>""</f>
        <v/>
      </c>
      <c r="J1435" s="1" t="str">
        <f>"Ні"</f>
        <v>Ні</v>
      </c>
    </row>
    <row r="1436" spans="1:10" ht="135" x14ac:dyDescent="0.25">
      <c r="A1436" s="1" t="str">
        <f>"1489-2020/27"</f>
        <v>1489-2020/27</v>
      </c>
      <c r="B1436" s="1" t="str">
        <f t="shared" si="248"/>
        <v>05.03.2020</v>
      </c>
      <c r="C1436" s="1" t="str">
        <f>"Закрито"</f>
        <v>Закрито</v>
      </c>
      <c r="D143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36" s="1" t="str">
        <f>"Земельні питання"</f>
        <v>Земельні питання</v>
      </c>
      <c r="F14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36" s="1" t="str">
        <f>"1"</f>
        <v>1</v>
      </c>
      <c r="H1436" s="1" t="str">
        <f>"Результат"</f>
        <v>Результат</v>
      </c>
      <c r="I1436" s="1" t="str">
        <f>"Позитивний"</f>
        <v>Позитивний</v>
      </c>
      <c r="J1436" s="1" t="str">
        <f>"Так"</f>
        <v>Так</v>
      </c>
    </row>
    <row r="1437" spans="1:10" ht="45" x14ac:dyDescent="0.25">
      <c r="A1437" s="1" t="str">
        <f>"1487-2020/27"</f>
        <v>1487-2020/27</v>
      </c>
      <c r="B1437" s="1" t="str">
        <f t="shared" si="248"/>
        <v>05.03.2020</v>
      </c>
      <c r="C1437" s="1" t="str">
        <f>"Закрито"</f>
        <v>Закрито</v>
      </c>
      <c r="D1437" s="1" t="str">
        <f>"Реєстрація місця проживання особи"</f>
        <v>Реєстрація місця проживання особи</v>
      </c>
      <c r="E1437" s="1" t="str">
        <f>"Реєстрація місця проживання"</f>
        <v>Реєстрація місця проживання</v>
      </c>
      <c r="F1437" s="1" t="str">
        <f>"Відділ реєстрації Новокаховської міської ради"</f>
        <v>Відділ реєстрації Новокаховської міської ради</v>
      </c>
      <c r="G1437" s="1" t="str">
        <f>"1"</f>
        <v>1</v>
      </c>
      <c r="H1437" s="1" t="str">
        <f>"Результат"</f>
        <v>Результат</v>
      </c>
      <c r="I1437" s="1" t="str">
        <f>"Позитивний"</f>
        <v>Позитивний</v>
      </c>
      <c r="J1437" s="1" t="str">
        <f>"Так"</f>
        <v>Так</v>
      </c>
    </row>
    <row r="1438" spans="1:10" ht="120" x14ac:dyDescent="0.25">
      <c r="A1438" s="1" t="str">
        <f>"1481-2020/27"</f>
        <v>1481-2020/27</v>
      </c>
      <c r="B1438" s="1" t="str">
        <f t="shared" si="248"/>
        <v>05.03.2020</v>
      </c>
      <c r="C1438" s="1" t="str">
        <f>"На обробці в адмін. органі"</f>
        <v>На обробці в адмін. органі</v>
      </c>
      <c r="D1438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38" s="1" t="str">
        <f>"Будівництво"</f>
        <v>Будівництво</v>
      </c>
      <c r="F143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38" s="1" t="str">
        <f>"10"</f>
        <v>10</v>
      </c>
      <c r="H1438" s="1" t="str">
        <f>""</f>
        <v/>
      </c>
      <c r="I1438" s="1" t="str">
        <f>""</f>
        <v/>
      </c>
      <c r="J1438" s="1" t="str">
        <f>"Ні"</f>
        <v>Ні</v>
      </c>
    </row>
    <row r="1439" spans="1:10" ht="45" x14ac:dyDescent="0.25">
      <c r="A1439" s="1" t="str">
        <f>"1479-2020/27"</f>
        <v>1479-2020/27</v>
      </c>
      <c r="B1439" s="1" t="str">
        <f t="shared" si="248"/>
        <v>05.03.2020</v>
      </c>
      <c r="C1439" s="1" t="str">
        <f>"Закрито"</f>
        <v>Закрито</v>
      </c>
      <c r="D1439" s="1" t="str">
        <f>"Реєстрація місця проживання особи"</f>
        <v>Реєстрація місця проживання особи</v>
      </c>
      <c r="E1439" s="1" t="str">
        <f>"Реєстрація місця проживання"</f>
        <v>Реєстрація місця проживання</v>
      </c>
      <c r="F1439" s="1" t="str">
        <f>"Відділ реєстрації Новокаховської міської ради"</f>
        <v>Відділ реєстрації Новокаховської міської ради</v>
      </c>
      <c r="G1439" s="1" t="str">
        <f>"1"</f>
        <v>1</v>
      </c>
      <c r="H1439" s="1" t="str">
        <f>"Результат"</f>
        <v>Результат</v>
      </c>
      <c r="I1439" s="1" t="str">
        <f>"Мотивована відмова"</f>
        <v>Мотивована відмова</v>
      </c>
      <c r="J1439" s="1" t="str">
        <f>"Так"</f>
        <v>Так</v>
      </c>
    </row>
    <row r="1440" spans="1:10" ht="45" x14ac:dyDescent="0.25">
      <c r="A1440" s="1" t="str">
        <f>"1486-2020/27"</f>
        <v>1486-2020/27</v>
      </c>
      <c r="B1440" s="1" t="str">
        <f t="shared" si="248"/>
        <v>05.03.2020</v>
      </c>
      <c r="C1440" s="1" t="str">
        <f>"Закрито"</f>
        <v>Закрито</v>
      </c>
      <c r="D1440" s="1" t="str">
        <f>"Реєстрація місця проживання особи"</f>
        <v>Реєстрація місця проживання особи</v>
      </c>
      <c r="E1440" s="1" t="str">
        <f>"Реєстрація місця проживання"</f>
        <v>Реєстрація місця проживання</v>
      </c>
      <c r="F1440" s="1" t="str">
        <f>"Відділ реєстрації Новокаховської міської ради"</f>
        <v>Відділ реєстрації Новокаховської міської ради</v>
      </c>
      <c r="G1440" s="1" t="str">
        <f>"1"</f>
        <v>1</v>
      </c>
      <c r="H1440" s="1" t="str">
        <f>"Результат"</f>
        <v>Результат</v>
      </c>
      <c r="I1440" s="1" t="str">
        <f>"Позитивний"</f>
        <v>Позитивний</v>
      </c>
      <c r="J1440" s="1" t="str">
        <f>"Так"</f>
        <v>Так</v>
      </c>
    </row>
    <row r="1441" spans="1:10" ht="135" x14ac:dyDescent="0.25">
      <c r="A1441" s="1" t="str">
        <f>"1495-2020/27"</f>
        <v>1495-2020/27</v>
      </c>
      <c r="B1441" s="1" t="str">
        <f t="shared" si="248"/>
        <v>05.03.2020</v>
      </c>
      <c r="C1441" s="1" t="str">
        <f>"Закрито"</f>
        <v>Закрито</v>
      </c>
      <c r="D144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441" s="1" t="str">
        <f>"Земельні питання"</f>
        <v>Земельні питання</v>
      </c>
      <c r="F14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41" s="1" t="str">
        <f>"14"</f>
        <v>14</v>
      </c>
      <c r="H1441" s="1" t="str">
        <f>"Результат"</f>
        <v>Результат</v>
      </c>
      <c r="I1441" s="1" t="str">
        <f>"Позитивний"</f>
        <v>Позитивний</v>
      </c>
      <c r="J1441" s="1" t="str">
        <f>"Ні"</f>
        <v>Ні</v>
      </c>
    </row>
    <row r="1442" spans="1:10" ht="120" x14ac:dyDescent="0.25">
      <c r="A1442" s="1" t="str">
        <f>"1483-2020/27"</f>
        <v>1483-2020/27</v>
      </c>
      <c r="B1442" s="1" t="str">
        <f t="shared" si="248"/>
        <v>05.03.2020</v>
      </c>
      <c r="C1442" s="1" t="str">
        <f>"На обробці в адмін. органі"</f>
        <v>На обробці в адмін. органі</v>
      </c>
      <c r="D1442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42" s="1" t="str">
        <f>"Будівництво"</f>
        <v>Будівництво</v>
      </c>
      <c r="F144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42" s="1" t="str">
        <f>"10"</f>
        <v>10</v>
      </c>
      <c r="H1442" s="1" t="str">
        <f>""</f>
        <v/>
      </c>
      <c r="I1442" s="1" t="str">
        <f>""</f>
        <v/>
      </c>
      <c r="J1442" s="1" t="str">
        <f>"Ні"</f>
        <v>Ні</v>
      </c>
    </row>
    <row r="1443" spans="1:10" ht="135" x14ac:dyDescent="0.25">
      <c r="A1443" s="1" t="str">
        <f>"1485-2020/27"</f>
        <v>1485-2020/27</v>
      </c>
      <c r="B1443" s="1" t="str">
        <f t="shared" si="248"/>
        <v>05.03.2020</v>
      </c>
      <c r="C1443" s="1" t="str">
        <f>"Закрито"</f>
        <v>Закрито</v>
      </c>
      <c r="D144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43" s="1" t="str">
        <f>"Земельні питання"</f>
        <v>Земельні питання</v>
      </c>
      <c r="F14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43" s="1" t="str">
        <f>"1"</f>
        <v>1</v>
      </c>
      <c r="H1443" s="1" t="str">
        <f>"Результат"</f>
        <v>Результат</v>
      </c>
      <c r="I1443" s="1" t="str">
        <f t="shared" ref="I1443:I1454" si="249">"Позитивний"</f>
        <v>Позитивний</v>
      </c>
      <c r="J1443" s="1" t="str">
        <f>"Так"</f>
        <v>Так</v>
      </c>
    </row>
    <row r="1444" spans="1:10" ht="135" x14ac:dyDescent="0.25">
      <c r="A1444" s="1" t="str">
        <f>"1497-2020/27"</f>
        <v>1497-2020/27</v>
      </c>
      <c r="B1444" s="1" t="str">
        <f t="shared" si="248"/>
        <v>05.03.2020</v>
      </c>
      <c r="C1444" s="1" t="str">
        <f>"Закрито"</f>
        <v>Закрито</v>
      </c>
      <c r="D144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444" s="1" t="str">
        <f>"Земельні питання"</f>
        <v>Земельні питання</v>
      </c>
      <c r="F14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44" s="1" t="str">
        <f>"14"</f>
        <v>14</v>
      </c>
      <c r="H1444" s="1" t="str">
        <f>"Результат"</f>
        <v>Результат</v>
      </c>
      <c r="I1444" s="1" t="str">
        <f t="shared" si="249"/>
        <v>Позитивний</v>
      </c>
      <c r="J1444" s="1" t="str">
        <f>"Ні"</f>
        <v>Ні</v>
      </c>
    </row>
    <row r="1445" spans="1:10" ht="135" x14ac:dyDescent="0.25">
      <c r="A1445" s="1" t="str">
        <f>"1498-2020/27"</f>
        <v>1498-2020/27</v>
      </c>
      <c r="B1445" s="1" t="str">
        <f t="shared" si="248"/>
        <v>05.03.2020</v>
      </c>
      <c r="C1445" s="1" t="str">
        <f>"Закрито"</f>
        <v>Закрито</v>
      </c>
      <c r="D144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445" s="1" t="str">
        <f>"Земельні питання"</f>
        <v>Земельні питання</v>
      </c>
      <c r="F14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45" s="1" t="str">
        <f>"14"</f>
        <v>14</v>
      </c>
      <c r="H1445" s="1" t="str">
        <f>"Результат"</f>
        <v>Результат</v>
      </c>
      <c r="I1445" s="1" t="str">
        <f t="shared" si="249"/>
        <v>Позитивний</v>
      </c>
      <c r="J1445" s="1" t="str">
        <f>"Ні"</f>
        <v>Ні</v>
      </c>
    </row>
    <row r="1446" spans="1:10" ht="120" x14ac:dyDescent="0.25">
      <c r="A1446" s="1" t="str">
        <f>"1484-2020/27"</f>
        <v>1484-2020/27</v>
      </c>
      <c r="B1446" s="1" t="str">
        <f t="shared" si="248"/>
        <v>05.03.2020</v>
      </c>
      <c r="C1446" s="1" t="str">
        <f t="shared" ref="C1446:C1447" si="250">"Закрито"</f>
        <v>Закрито</v>
      </c>
      <c r="D1446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46" s="1" t="str">
        <f>"Будівництво"</f>
        <v>Будівництво</v>
      </c>
      <c r="F144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46" s="1" t="str">
        <f>"10"</f>
        <v>10</v>
      </c>
      <c r="H1446" s="1" t="str">
        <f>"Результат"</f>
        <v>Результат</v>
      </c>
      <c r="I1446" s="1" t="str">
        <f t="shared" si="249"/>
        <v>Позитивний</v>
      </c>
      <c r="J1446" s="1" t="str">
        <f>"Ні"</f>
        <v>Ні</v>
      </c>
    </row>
    <row r="1447" spans="1:10" ht="120" x14ac:dyDescent="0.25">
      <c r="A1447" s="1" t="str">
        <f>"1480-2020/27"</f>
        <v>1480-2020/27</v>
      </c>
      <c r="B1447" s="1" t="str">
        <f t="shared" si="248"/>
        <v>05.03.2020</v>
      </c>
      <c r="C1447" s="1" t="str">
        <f t="shared" si="250"/>
        <v>Закрито</v>
      </c>
      <c r="D1447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47" s="1" t="str">
        <f>"Будівництво"</f>
        <v>Будівництво</v>
      </c>
      <c r="F144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47" s="1" t="str">
        <f>"10"</f>
        <v>10</v>
      </c>
      <c r="H1447" s="1" t="str">
        <f>"Результат"</f>
        <v>Результат</v>
      </c>
      <c r="I1447" s="1" t="str">
        <f t="shared" si="249"/>
        <v>Позитивний</v>
      </c>
      <c r="J1447" s="1" t="str">
        <f>"Ні"</f>
        <v>Ні</v>
      </c>
    </row>
    <row r="1448" spans="1:10" ht="45" x14ac:dyDescent="0.25">
      <c r="A1448" s="1" t="str">
        <f>"1488-2020/27"</f>
        <v>1488-2020/27</v>
      </c>
      <c r="B1448" s="1" t="str">
        <f t="shared" si="248"/>
        <v>05.03.2020</v>
      </c>
      <c r="C1448" s="1" t="str">
        <f t="shared" ref="C1448:C1454" si="251">"Закрито"</f>
        <v>Закрито</v>
      </c>
      <c r="D1448" s="1" t="str">
        <f>"Зняття з реєстрації місця проживання"</f>
        <v>Зняття з реєстрації місця проживання</v>
      </c>
      <c r="E1448" s="1" t="str">
        <f>"Реєстрація місця проживання"</f>
        <v>Реєстрація місця проживання</v>
      </c>
      <c r="F1448" s="1" t="str">
        <f>"Відділ реєстрації Новокаховської міської ради"</f>
        <v>Відділ реєстрації Новокаховської міської ради</v>
      </c>
      <c r="G1448" s="1" t="str">
        <f>"1"</f>
        <v>1</v>
      </c>
      <c r="H1448" s="1" t="str">
        <f>"Результат"</f>
        <v>Результат</v>
      </c>
      <c r="I1448" s="1" t="str">
        <f t="shared" si="249"/>
        <v>Позитивний</v>
      </c>
      <c r="J1448" s="1" t="str">
        <f>"Так"</f>
        <v>Так</v>
      </c>
    </row>
    <row r="1449" spans="1:10" ht="45" x14ac:dyDescent="0.25">
      <c r="A1449" s="1" t="str">
        <f>"1503-2020/27"</f>
        <v>1503-2020/27</v>
      </c>
      <c r="B1449" s="1" t="str">
        <f t="shared" si="248"/>
        <v>05.03.2020</v>
      </c>
      <c r="C1449" s="1" t="str">
        <f t="shared" si="251"/>
        <v>Закрито</v>
      </c>
      <c r="D1449" s="1" t="str">
        <f>"Видача дозволу на порушення об’єктів благоустрою"</f>
        <v>Видача дозволу на порушення об’єктів благоустрою</v>
      </c>
      <c r="E1449" s="1" t="str">
        <f>"Об’єкти благоустрою"</f>
        <v>Об’єкти благоустрою</v>
      </c>
      <c r="F1449" s="1" t="str">
        <f>"Виконавчий комітет Новокаховської міської ради"</f>
        <v>Виконавчий комітет Новокаховської міської ради</v>
      </c>
      <c r="G1449" s="1" t="str">
        <f>"10"</f>
        <v>10</v>
      </c>
      <c r="H1449" s="1" t="str">
        <f>"Результат"</f>
        <v>Результат</v>
      </c>
      <c r="I1449" s="1" t="str">
        <f t="shared" si="249"/>
        <v>Позитивний</v>
      </c>
      <c r="J1449" s="1" t="str">
        <f>"Ні"</f>
        <v>Ні</v>
      </c>
    </row>
    <row r="1450" spans="1:10" ht="45" x14ac:dyDescent="0.25">
      <c r="A1450" s="1" t="str">
        <f>"1513-2020/27"</f>
        <v>1513-2020/27</v>
      </c>
      <c r="B1450" s="1" t="str">
        <f t="shared" ref="B1450:B1465" si="252">"06.03.2020"</f>
        <v>06.03.2020</v>
      </c>
      <c r="C1450" s="1" t="str">
        <f t="shared" si="251"/>
        <v>Закрито</v>
      </c>
      <c r="D1450" s="1" t="str">
        <f>"Реєстрація місця проживання особи"</f>
        <v>Реєстрація місця проживання особи</v>
      </c>
      <c r="E1450" s="1" t="str">
        <f>"Реєстрація місця проживання"</f>
        <v>Реєстрація місця проживання</v>
      </c>
      <c r="F1450" s="1" t="str">
        <f>"Відділ реєстрації Новокаховської міської ради"</f>
        <v>Відділ реєстрації Новокаховської міської ради</v>
      </c>
      <c r="G1450" s="1" t="str">
        <f>"1"</f>
        <v>1</v>
      </c>
      <c r="H1450" s="1" t="str">
        <f>"Результат"</f>
        <v>Результат</v>
      </c>
      <c r="I1450" s="1" t="str">
        <f t="shared" si="249"/>
        <v>Позитивний</v>
      </c>
      <c r="J1450" s="1" t="str">
        <f>"Так"</f>
        <v>Так</v>
      </c>
    </row>
    <row r="1451" spans="1:10" ht="135" x14ac:dyDescent="0.25">
      <c r="A1451" s="1" t="str">
        <f>"1506-2020/27"</f>
        <v>1506-2020/27</v>
      </c>
      <c r="B1451" s="1" t="str">
        <f t="shared" si="252"/>
        <v>06.03.2020</v>
      </c>
      <c r="C1451" s="1" t="str">
        <f t="shared" si="251"/>
        <v>Закрито</v>
      </c>
      <c r="D145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51" s="1" t="str">
        <f>"Земельні питання"</f>
        <v>Земельні питання</v>
      </c>
      <c r="F14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51" s="1" t="str">
        <f>"3"</f>
        <v>3</v>
      </c>
      <c r="H1451" s="1" t="str">
        <f>"Результат"</f>
        <v>Результат</v>
      </c>
      <c r="I1451" s="1" t="str">
        <f t="shared" si="249"/>
        <v>Позитивний</v>
      </c>
      <c r="J1451" s="1" t="str">
        <f>"Ні"</f>
        <v>Ні</v>
      </c>
    </row>
    <row r="1452" spans="1:10" ht="105" x14ac:dyDescent="0.25">
      <c r="A1452" s="1" t="str">
        <f>"1520-2020/27"</f>
        <v>1520-2020/27</v>
      </c>
      <c r="B1452" s="1" t="str">
        <f t="shared" si="252"/>
        <v>06.03.2020</v>
      </c>
      <c r="C1452" s="1" t="str">
        <f t="shared" si="251"/>
        <v>Закрито</v>
      </c>
      <c r="D14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52" s="1" t="str">
        <f>"Земельні питання"</f>
        <v>Земельні питання</v>
      </c>
      <c r="F145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452" s="1" t="str">
        <f>"1"</f>
        <v>1</v>
      </c>
      <c r="H1452" s="1" t="str">
        <f>"Результат"</f>
        <v>Результат</v>
      </c>
      <c r="I1452" s="1" t="str">
        <f t="shared" si="249"/>
        <v>Позитивний</v>
      </c>
      <c r="J1452" s="1" t="str">
        <f>"Так"</f>
        <v>Так</v>
      </c>
    </row>
    <row r="1453" spans="1:10" ht="135" x14ac:dyDescent="0.25">
      <c r="A1453" s="1" t="str">
        <f>"1507-2020/27"</f>
        <v>1507-2020/27</v>
      </c>
      <c r="B1453" s="1" t="str">
        <f t="shared" si="252"/>
        <v>06.03.2020</v>
      </c>
      <c r="C1453" s="1" t="str">
        <f t="shared" si="251"/>
        <v>Закрито</v>
      </c>
      <c r="D145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53" s="1" t="str">
        <f>"Земельні питання"</f>
        <v>Земельні питання</v>
      </c>
      <c r="F14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53" s="1" t="str">
        <f>"3"</f>
        <v>3</v>
      </c>
      <c r="H1453" s="1" t="str">
        <f>"Результат"</f>
        <v>Результат</v>
      </c>
      <c r="I1453" s="1" t="str">
        <f t="shared" si="249"/>
        <v>Позитивний</v>
      </c>
      <c r="J1453" s="1" t="str">
        <f>"Ні"</f>
        <v>Ні</v>
      </c>
    </row>
    <row r="1454" spans="1:10" ht="45" x14ac:dyDescent="0.25">
      <c r="A1454" s="1" t="str">
        <f>"1514-2020/27"</f>
        <v>1514-2020/27</v>
      </c>
      <c r="B1454" s="1" t="str">
        <f t="shared" si="252"/>
        <v>06.03.2020</v>
      </c>
      <c r="C1454" s="1" t="str">
        <f t="shared" si="251"/>
        <v>Закрито</v>
      </c>
      <c r="D1454" s="1" t="str">
        <f>"Реєстрація місця проживання особи"</f>
        <v>Реєстрація місця проживання особи</v>
      </c>
      <c r="E1454" s="1" t="str">
        <f>"Реєстрація місця проживання"</f>
        <v>Реєстрація місця проживання</v>
      </c>
      <c r="F1454" s="1" t="str">
        <f>"Відділ реєстрації Новокаховської міської ради"</f>
        <v>Відділ реєстрації Новокаховської міської ради</v>
      </c>
      <c r="G1454" s="1" t="str">
        <f>"1"</f>
        <v>1</v>
      </c>
      <c r="H1454" s="1" t="str">
        <f>"Результат"</f>
        <v>Результат</v>
      </c>
      <c r="I1454" s="1" t="str">
        <f t="shared" si="249"/>
        <v>Позитивний</v>
      </c>
      <c r="J1454" s="1" t="str">
        <f>"Так"</f>
        <v>Так</v>
      </c>
    </row>
    <row r="1455" spans="1:10" ht="120" x14ac:dyDescent="0.25">
      <c r="A1455" s="1" t="str">
        <f>"1517-2020/27"</f>
        <v>1517-2020/27</v>
      </c>
      <c r="B1455" s="1" t="str">
        <f t="shared" si="252"/>
        <v>06.03.2020</v>
      </c>
      <c r="C1455" s="1" t="str">
        <f>"На обробці в адмін. органі"</f>
        <v>На обробці в адмін. органі</v>
      </c>
      <c r="D145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455" s="1" t="str">
        <f>"Будівництво"</f>
        <v>Будівництво</v>
      </c>
      <c r="F145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55" s="1" t="str">
        <f>"10"</f>
        <v>10</v>
      </c>
      <c r="H1455" s="1" t="str">
        <f>""</f>
        <v/>
      </c>
      <c r="I1455" s="1" t="str">
        <f>""</f>
        <v/>
      </c>
      <c r="J1455" s="1" t="str">
        <f>"Ні"</f>
        <v>Ні</v>
      </c>
    </row>
    <row r="1456" spans="1:10" ht="45" x14ac:dyDescent="0.25">
      <c r="A1456" s="1" t="str">
        <f>"1509-2020/27"</f>
        <v>1509-2020/27</v>
      </c>
      <c r="B1456" s="1" t="str">
        <f t="shared" si="252"/>
        <v>06.03.2020</v>
      </c>
      <c r="C1456" s="1" t="str">
        <f t="shared" ref="C1456:C1462" si="253">"Закрито"</f>
        <v>Закрито</v>
      </c>
      <c r="D1456" s="1" t="str">
        <f>"Зняття з реєстрації місця проживання"</f>
        <v>Зняття з реєстрації місця проживання</v>
      </c>
      <c r="E1456" s="1" t="str">
        <f>"Реєстрація місця проживання"</f>
        <v>Реєстрація місця проживання</v>
      </c>
      <c r="F1456" s="1" t="str">
        <f>"Відділ реєстрації Новокаховської міської ради"</f>
        <v>Відділ реєстрації Новокаховської міської ради</v>
      </c>
      <c r="G1456" s="1" t="str">
        <f>"1"</f>
        <v>1</v>
      </c>
      <c r="H1456" s="1" t="str">
        <f>"Результат"</f>
        <v>Результат</v>
      </c>
      <c r="I1456" s="1" t="str">
        <f t="shared" ref="I1456:I1503" si="254">"Позитивний"</f>
        <v>Позитивний</v>
      </c>
      <c r="J1456" s="1" t="str">
        <f t="shared" ref="J1456:J1462" si="255">"Так"</f>
        <v>Так</v>
      </c>
    </row>
    <row r="1457" spans="1:10" ht="45" x14ac:dyDescent="0.25">
      <c r="A1457" s="1" t="str">
        <f>"1519-2020/27"</f>
        <v>1519-2020/27</v>
      </c>
      <c r="B1457" s="1" t="str">
        <f t="shared" si="252"/>
        <v>06.03.2020</v>
      </c>
      <c r="C1457" s="1" t="str">
        <f t="shared" si="253"/>
        <v>Закрито</v>
      </c>
      <c r="D1457" s="1" t="str">
        <f>"Реєстрація місця проживання особи"</f>
        <v>Реєстрація місця проживання особи</v>
      </c>
      <c r="E1457" s="1" t="str">
        <f>"Реєстрація місця проживання"</f>
        <v>Реєстрація місця проживання</v>
      </c>
      <c r="F1457" s="1" t="str">
        <f>"Відділ реєстрації Новокаховської міської ради"</f>
        <v>Відділ реєстрації Новокаховської міської ради</v>
      </c>
      <c r="G1457" s="1" t="str">
        <f>"1"</f>
        <v>1</v>
      </c>
      <c r="H1457" s="1" t="str">
        <f>"Результат"</f>
        <v>Результат</v>
      </c>
      <c r="I1457" s="1" t="str">
        <f t="shared" si="254"/>
        <v>Позитивний</v>
      </c>
      <c r="J1457" s="1" t="str">
        <f t="shared" si="255"/>
        <v>Так</v>
      </c>
    </row>
    <row r="1458" spans="1:10" ht="105" x14ac:dyDescent="0.25">
      <c r="A1458" s="1" t="str">
        <f>"1508-2020/27"</f>
        <v>1508-2020/27</v>
      </c>
      <c r="B1458" s="1" t="str">
        <f t="shared" si="252"/>
        <v>06.03.2020</v>
      </c>
      <c r="C1458" s="1" t="str">
        <f t="shared" si="253"/>
        <v>Закрито</v>
      </c>
      <c r="D14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58" s="1" t="str">
        <f>"Земельні питання"</f>
        <v>Земельні питання</v>
      </c>
      <c r="F145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458" s="1" t="str">
        <f>"1"</f>
        <v>1</v>
      </c>
      <c r="H1458" s="1" t="str">
        <f>"Результат"</f>
        <v>Результат</v>
      </c>
      <c r="I1458" s="1" t="str">
        <f t="shared" si="254"/>
        <v>Позитивний</v>
      </c>
      <c r="J1458" s="1" t="str">
        <f t="shared" si="255"/>
        <v>Так</v>
      </c>
    </row>
    <row r="1459" spans="1:10" ht="45" x14ac:dyDescent="0.25">
      <c r="A1459" s="1" t="str">
        <f>"1505-2020/27"</f>
        <v>1505-2020/27</v>
      </c>
      <c r="B1459" s="1" t="str">
        <f t="shared" si="252"/>
        <v>06.03.2020</v>
      </c>
      <c r="C1459" s="1" t="str">
        <f t="shared" si="253"/>
        <v>Закрито</v>
      </c>
      <c r="D1459" s="1" t="str">
        <f>"Реєстрація місця проживання особи"</f>
        <v>Реєстрація місця проживання особи</v>
      </c>
      <c r="E1459" s="1" t="str">
        <f>"Реєстрація місця проживання"</f>
        <v>Реєстрація місця проживання</v>
      </c>
      <c r="F1459" s="1" t="str">
        <f>"Відділ реєстрації Новокаховської міської ради"</f>
        <v>Відділ реєстрації Новокаховської міської ради</v>
      </c>
      <c r="G1459" s="1" t="str">
        <f>"1"</f>
        <v>1</v>
      </c>
      <c r="H1459" s="1" t="str">
        <f>"Результат"</f>
        <v>Результат</v>
      </c>
      <c r="I1459" s="1" t="str">
        <f t="shared" si="254"/>
        <v>Позитивний</v>
      </c>
      <c r="J1459" s="1" t="str">
        <f t="shared" si="255"/>
        <v>Так</v>
      </c>
    </row>
    <row r="1460" spans="1:10" ht="135" x14ac:dyDescent="0.25">
      <c r="A1460" s="1" t="str">
        <f>"1512-2020/27"</f>
        <v>1512-2020/27</v>
      </c>
      <c r="B1460" s="1" t="str">
        <f t="shared" si="252"/>
        <v>06.03.2020</v>
      </c>
      <c r="C1460" s="1" t="str">
        <f t="shared" si="253"/>
        <v>Закрито</v>
      </c>
      <c r="D146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460" s="1" t="str">
        <f>"Земельні питання"</f>
        <v>Земельні питання</v>
      </c>
      <c r="F14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60" s="1" t="str">
        <f>"14"</f>
        <v>14</v>
      </c>
      <c r="H1460" s="1" t="str">
        <f>"Результат"</f>
        <v>Результат</v>
      </c>
      <c r="I1460" s="1" t="str">
        <f t="shared" si="254"/>
        <v>Позитивний</v>
      </c>
      <c r="J1460" s="1" t="str">
        <f t="shared" si="255"/>
        <v>Так</v>
      </c>
    </row>
    <row r="1461" spans="1:10" ht="45" x14ac:dyDescent="0.25">
      <c r="A1461" s="1" t="str">
        <f>"1515-2020/27"</f>
        <v>1515-2020/27</v>
      </c>
      <c r="B1461" s="1" t="str">
        <f t="shared" si="252"/>
        <v>06.03.2020</v>
      </c>
      <c r="C1461" s="1" t="str">
        <f t="shared" si="253"/>
        <v>Закрито</v>
      </c>
      <c r="D1461" s="1" t="str">
        <f>"Реєстрація місця проживання особи"</f>
        <v>Реєстрація місця проживання особи</v>
      </c>
      <c r="E1461" s="1" t="str">
        <f>"Реєстрація місця проживання"</f>
        <v>Реєстрація місця проживання</v>
      </c>
      <c r="F1461" s="1" t="str">
        <f>"Відділ реєстрації Новокаховської міської ради"</f>
        <v>Відділ реєстрації Новокаховської міської ради</v>
      </c>
      <c r="G1461" s="1" t="str">
        <f>"1"</f>
        <v>1</v>
      </c>
      <c r="H1461" s="1" t="str">
        <f>"Результат"</f>
        <v>Результат</v>
      </c>
      <c r="I1461" s="1" t="str">
        <f t="shared" si="254"/>
        <v>Позитивний</v>
      </c>
      <c r="J1461" s="1" t="str">
        <f t="shared" si="255"/>
        <v>Так</v>
      </c>
    </row>
    <row r="1462" spans="1:10" ht="45" x14ac:dyDescent="0.25">
      <c r="A1462" s="1" t="str">
        <f>"1510-2020/27"</f>
        <v>1510-2020/27</v>
      </c>
      <c r="B1462" s="1" t="str">
        <f t="shared" si="252"/>
        <v>06.03.2020</v>
      </c>
      <c r="C1462" s="1" t="str">
        <f t="shared" si="253"/>
        <v>Закрито</v>
      </c>
      <c r="D1462" s="1" t="str">
        <f>"Реєстрація місця проживання особи"</f>
        <v>Реєстрація місця проживання особи</v>
      </c>
      <c r="E1462" s="1" t="str">
        <f>"Реєстрація місця проживання"</f>
        <v>Реєстрація місця проживання</v>
      </c>
      <c r="F1462" s="1" t="str">
        <f>"Відділ реєстрації Новокаховської міської ради"</f>
        <v>Відділ реєстрації Новокаховської міської ради</v>
      </c>
      <c r="G1462" s="1" t="str">
        <f>"1"</f>
        <v>1</v>
      </c>
      <c r="H1462" s="1" t="str">
        <f>"Результат"</f>
        <v>Результат</v>
      </c>
      <c r="I1462" s="1" t="str">
        <f t="shared" si="254"/>
        <v>Позитивний</v>
      </c>
      <c r="J1462" s="1" t="str">
        <f t="shared" si="255"/>
        <v>Так</v>
      </c>
    </row>
    <row r="1463" spans="1:10" ht="135" x14ac:dyDescent="0.25">
      <c r="A1463" s="1" t="str">
        <f>"1511-2020/27"</f>
        <v>1511-2020/27</v>
      </c>
      <c r="B1463" s="1" t="str">
        <f t="shared" si="252"/>
        <v>06.03.2020</v>
      </c>
      <c r="C1463" s="1" t="str">
        <f>"Закрито"</f>
        <v>Закрито</v>
      </c>
      <c r="D146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63" s="1" t="str">
        <f>"Земельні питання"</f>
        <v>Земельні питання</v>
      </c>
      <c r="F14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63" s="1" t="str">
        <f>"3"</f>
        <v>3</v>
      </c>
      <c r="H1463" s="1" t="str">
        <f>"Результат"</f>
        <v>Результат</v>
      </c>
      <c r="I1463" s="1" t="str">
        <f t="shared" si="254"/>
        <v>Позитивний</v>
      </c>
      <c r="J1463" s="1" t="str">
        <f>"Ні"</f>
        <v>Ні</v>
      </c>
    </row>
    <row r="1464" spans="1:10" ht="45" x14ac:dyDescent="0.25">
      <c r="A1464" s="1" t="str">
        <f>"1518-2020/27"</f>
        <v>1518-2020/27</v>
      </c>
      <c r="B1464" s="1" t="str">
        <f t="shared" si="252"/>
        <v>06.03.2020</v>
      </c>
      <c r="C1464" s="1" t="str">
        <f>"Закрито"</f>
        <v>Закрито</v>
      </c>
      <c r="D1464" s="1" t="str">
        <f>"Реєстрація місця проживання особи"</f>
        <v>Реєстрація місця проживання особи</v>
      </c>
      <c r="E1464" s="1" t="str">
        <f>"Реєстрація місця проживання"</f>
        <v>Реєстрація місця проживання</v>
      </c>
      <c r="F1464" s="1" t="str">
        <f>"Відділ реєстрації Новокаховської міської ради"</f>
        <v>Відділ реєстрації Новокаховської міської ради</v>
      </c>
      <c r="G1464" s="1" t="str">
        <f>"1"</f>
        <v>1</v>
      </c>
      <c r="H1464" s="1" t="str">
        <f>"Результат"</f>
        <v>Результат</v>
      </c>
      <c r="I1464" s="1" t="str">
        <f t="shared" si="254"/>
        <v>Позитивний</v>
      </c>
      <c r="J1464" s="1" t="str">
        <f>"Так"</f>
        <v>Так</v>
      </c>
    </row>
    <row r="1465" spans="1:10" ht="135" x14ac:dyDescent="0.25">
      <c r="A1465" s="1" t="str">
        <f>"1516-2020/27"</f>
        <v>1516-2020/27</v>
      </c>
      <c r="B1465" s="1" t="str">
        <f t="shared" si="252"/>
        <v>06.03.2020</v>
      </c>
      <c r="C1465" s="1" t="str">
        <f>"Закрито"</f>
        <v>Закрито</v>
      </c>
      <c r="D146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465" s="1" t="str">
        <f>"Земельні питання"</f>
        <v>Земельні питання</v>
      </c>
      <c r="F14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65" s="1" t="str">
        <f>"14"</f>
        <v>14</v>
      </c>
      <c r="H1465" s="1" t="str">
        <f>"Результат"</f>
        <v>Результат</v>
      </c>
      <c r="I1465" s="1" t="str">
        <f t="shared" si="254"/>
        <v>Позитивний</v>
      </c>
      <c r="J1465" s="1" t="str">
        <f>"Так"</f>
        <v>Так</v>
      </c>
    </row>
    <row r="1466" spans="1:10" ht="45" x14ac:dyDescent="0.25">
      <c r="A1466" s="1" t="str">
        <f>"1525-2020/27"</f>
        <v>1525-2020/27</v>
      </c>
      <c r="B1466" s="1" t="str">
        <f t="shared" ref="B1466:B1513" si="256">"10.03.2020"</f>
        <v>10.03.2020</v>
      </c>
      <c r="C1466" s="1" t="str">
        <f>"Закрито"</f>
        <v>Закрито</v>
      </c>
      <c r="D1466" s="1" t="str">
        <f>"Реєстрація місця проживання особи"</f>
        <v>Реєстрація місця проживання особи</v>
      </c>
      <c r="E1466" s="1" t="str">
        <f>"Реєстрація місця проживання"</f>
        <v>Реєстрація місця проживання</v>
      </c>
      <c r="F1466" s="1" t="str">
        <f>"Відділ реєстрації Новокаховської міської ради"</f>
        <v>Відділ реєстрації Новокаховської міської ради</v>
      </c>
      <c r="G1466" s="1" t="str">
        <f>"1"</f>
        <v>1</v>
      </c>
      <c r="H1466" s="1" t="str">
        <f>"Результат"</f>
        <v>Результат</v>
      </c>
      <c r="I1466" s="1" t="str">
        <f t="shared" si="254"/>
        <v>Позитивний</v>
      </c>
      <c r="J1466" s="1" t="str">
        <f>"Так"</f>
        <v>Так</v>
      </c>
    </row>
    <row r="1467" spans="1:10" ht="90" x14ac:dyDescent="0.25">
      <c r="A1467" s="1" t="str">
        <f>"1521-2020/27"</f>
        <v>1521-2020/27</v>
      </c>
      <c r="B1467" s="1" t="str">
        <f t="shared" si="256"/>
        <v>10.03.2020</v>
      </c>
      <c r="C1467" s="1" t="str">
        <f>"Закрито"</f>
        <v>Закрито</v>
      </c>
      <c r="D146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67" s="1" t="str">
        <f>"Інші послуги"</f>
        <v>Інші послуги</v>
      </c>
      <c r="F146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67" s="1" t="str">
        <f>"5"</f>
        <v>5</v>
      </c>
      <c r="H1467" s="1" t="str">
        <f>"Результат"</f>
        <v>Результат</v>
      </c>
      <c r="I1467" s="1" t="str">
        <f t="shared" si="254"/>
        <v>Позитивний</v>
      </c>
      <c r="J1467" s="1" t="str">
        <f>"Ні"</f>
        <v>Ні</v>
      </c>
    </row>
    <row r="1468" spans="1:10" ht="225" x14ac:dyDescent="0.25">
      <c r="A1468" s="1" t="str">
        <f>"1540-2020/27"</f>
        <v>1540-2020/27</v>
      </c>
      <c r="B1468" s="1" t="str">
        <f t="shared" si="256"/>
        <v>10.03.2020</v>
      </c>
      <c r="C1468" s="1" t="str">
        <f t="shared" ref="C1468" si="257">"Закрито"</f>
        <v>Закрито</v>
      </c>
      <c r="D1468" s="1" t="s">
        <v>1</v>
      </c>
      <c r="E1468" s="1" t="str">
        <f>"Будівництво"</f>
        <v>Будівництво</v>
      </c>
      <c r="F146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68" s="1" t="str">
        <f>"30"</f>
        <v>30</v>
      </c>
      <c r="H1468" s="1" t="str">
        <f>"Результат"</f>
        <v>Результат</v>
      </c>
      <c r="I1468" s="1" t="str">
        <f t="shared" si="254"/>
        <v>Позитивний</v>
      </c>
      <c r="J1468" s="1" t="str">
        <f>"Ні"</f>
        <v>Ні</v>
      </c>
    </row>
    <row r="1469" spans="1:10" ht="45" x14ac:dyDescent="0.25">
      <c r="A1469" s="1" t="str">
        <f>"1559-2020/27"</f>
        <v>1559-2020/27</v>
      </c>
      <c r="B1469" s="1" t="str">
        <f t="shared" si="256"/>
        <v>10.03.2020</v>
      </c>
      <c r="C1469" s="1" t="str">
        <f t="shared" ref="C1469:C1477" si="258">"Закрито"</f>
        <v>Закрито</v>
      </c>
      <c r="D1469" s="1" t="str">
        <f>"Реєстрація місця проживання особи"</f>
        <v>Реєстрація місця проживання особи</v>
      </c>
      <c r="E1469" s="1" t="str">
        <f>"Реєстрація місця проживання"</f>
        <v>Реєстрація місця проживання</v>
      </c>
      <c r="F1469" s="1" t="str">
        <f>"Відділ реєстрації Новокаховської міської ради"</f>
        <v>Відділ реєстрації Новокаховської міської ради</v>
      </c>
      <c r="G1469" s="1" t="str">
        <f>"1"</f>
        <v>1</v>
      </c>
      <c r="H1469" s="1" t="str">
        <f>"Результат"</f>
        <v>Результат</v>
      </c>
      <c r="I1469" s="1" t="str">
        <f t="shared" si="254"/>
        <v>Позитивний</v>
      </c>
      <c r="J1469" s="1" t="str">
        <f>"Так"</f>
        <v>Так</v>
      </c>
    </row>
    <row r="1470" spans="1:10" ht="45" x14ac:dyDescent="0.25">
      <c r="A1470" s="1" t="str">
        <f>"1538-2020/27"</f>
        <v>1538-2020/27</v>
      </c>
      <c r="B1470" s="1" t="str">
        <f t="shared" si="256"/>
        <v>10.03.2020</v>
      </c>
      <c r="C1470" s="1" t="str">
        <f t="shared" si="258"/>
        <v>Закрито</v>
      </c>
      <c r="D1470" s="1" t="str">
        <f>"Реєстрація місця проживання особи"</f>
        <v>Реєстрація місця проживання особи</v>
      </c>
      <c r="E1470" s="1" t="str">
        <f>"Реєстрація місця проживання"</f>
        <v>Реєстрація місця проживання</v>
      </c>
      <c r="F1470" s="1" t="str">
        <f>"Відділ реєстрації Новокаховської міської ради"</f>
        <v>Відділ реєстрації Новокаховської міської ради</v>
      </c>
      <c r="G1470" s="1" t="str">
        <f>"1"</f>
        <v>1</v>
      </c>
      <c r="H1470" s="1" t="str">
        <f>"Результат"</f>
        <v>Результат</v>
      </c>
      <c r="I1470" s="1" t="str">
        <f t="shared" si="254"/>
        <v>Позитивний</v>
      </c>
      <c r="J1470" s="1" t="str">
        <f>"Так"</f>
        <v>Так</v>
      </c>
    </row>
    <row r="1471" spans="1:10" ht="45" x14ac:dyDescent="0.25">
      <c r="A1471" s="1" t="str">
        <f>"1561-2020/27"</f>
        <v>1561-2020/27</v>
      </c>
      <c r="B1471" s="1" t="str">
        <f t="shared" si="256"/>
        <v>10.03.2020</v>
      </c>
      <c r="C1471" s="1" t="str">
        <f t="shared" si="258"/>
        <v>Закрито</v>
      </c>
      <c r="D1471" s="1" t="str">
        <f>"Зняття з реєстрації місця проживання"</f>
        <v>Зняття з реєстрації місця проживання</v>
      </c>
      <c r="E1471" s="1" t="str">
        <f>"Реєстрація місця проживання"</f>
        <v>Реєстрація місця проживання</v>
      </c>
      <c r="F1471" s="1" t="str">
        <f>"Відділ реєстрації Новокаховської міської ради"</f>
        <v>Відділ реєстрації Новокаховської міської ради</v>
      </c>
      <c r="G1471" s="1" t="str">
        <f>"1"</f>
        <v>1</v>
      </c>
      <c r="H1471" s="1" t="str">
        <f>"Результат"</f>
        <v>Результат</v>
      </c>
      <c r="I1471" s="1" t="str">
        <f t="shared" si="254"/>
        <v>Позитивний</v>
      </c>
      <c r="J1471" s="1" t="str">
        <f>"Так"</f>
        <v>Так</v>
      </c>
    </row>
    <row r="1472" spans="1:10" ht="45" x14ac:dyDescent="0.25">
      <c r="A1472" s="1" t="str">
        <f>"1527-2020/27"</f>
        <v>1527-2020/27</v>
      </c>
      <c r="B1472" s="1" t="str">
        <f t="shared" si="256"/>
        <v>10.03.2020</v>
      </c>
      <c r="C1472" s="1" t="str">
        <f t="shared" si="258"/>
        <v>Закрито</v>
      </c>
      <c r="D1472" s="1" t="str">
        <f>"Реєстрація місця проживання особи"</f>
        <v>Реєстрація місця проживання особи</v>
      </c>
      <c r="E1472" s="1" t="str">
        <f>"Реєстрація місця проживання"</f>
        <v>Реєстрація місця проживання</v>
      </c>
      <c r="F1472" s="1" t="str">
        <f>"Відділ реєстрації Новокаховської міської ради"</f>
        <v>Відділ реєстрації Новокаховської міської ради</v>
      </c>
      <c r="G1472" s="1" t="str">
        <f>"1"</f>
        <v>1</v>
      </c>
      <c r="H1472" s="1" t="str">
        <f>"Результат"</f>
        <v>Результат</v>
      </c>
      <c r="I1472" s="1" t="str">
        <f t="shared" si="254"/>
        <v>Позитивний</v>
      </c>
      <c r="J1472" s="1" t="str">
        <f>"Так"</f>
        <v>Так</v>
      </c>
    </row>
    <row r="1473" spans="1:10" ht="135" x14ac:dyDescent="0.25">
      <c r="A1473" s="1" t="str">
        <f>"1548-2020/27"</f>
        <v>1548-2020/27</v>
      </c>
      <c r="B1473" s="1" t="str">
        <f t="shared" si="256"/>
        <v>10.03.2020</v>
      </c>
      <c r="C1473" s="1" t="str">
        <f t="shared" si="258"/>
        <v>Закрито</v>
      </c>
      <c r="D147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73" s="1" t="str">
        <f>"Земельні питання"</f>
        <v>Земельні питання</v>
      </c>
      <c r="F14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73" s="1" t="str">
        <f>"3"</f>
        <v>3</v>
      </c>
      <c r="H1473" s="1" t="str">
        <f>"Результат"</f>
        <v>Результат</v>
      </c>
      <c r="I1473" s="1" t="str">
        <f t="shared" si="254"/>
        <v>Позитивний</v>
      </c>
      <c r="J1473" s="1" t="str">
        <f>"Ні"</f>
        <v>Ні</v>
      </c>
    </row>
    <row r="1474" spans="1:10" ht="135" x14ac:dyDescent="0.25">
      <c r="A1474" s="1" t="str">
        <f>"1551-2020/27"</f>
        <v>1551-2020/27</v>
      </c>
      <c r="B1474" s="1" t="str">
        <f t="shared" si="256"/>
        <v>10.03.2020</v>
      </c>
      <c r="C1474" s="1" t="str">
        <f t="shared" si="258"/>
        <v>Закрито</v>
      </c>
      <c r="D147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74" s="1" t="str">
        <f>"Земельні питання"</f>
        <v>Земельні питання</v>
      </c>
      <c r="F14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74" s="1" t="str">
        <f>"3"</f>
        <v>3</v>
      </c>
      <c r="H1474" s="1" t="str">
        <f>"Результат"</f>
        <v>Результат</v>
      </c>
      <c r="I1474" s="1" t="str">
        <f t="shared" si="254"/>
        <v>Позитивний</v>
      </c>
      <c r="J1474" s="1" t="str">
        <f>"Ні"</f>
        <v>Ні</v>
      </c>
    </row>
    <row r="1475" spans="1:10" ht="135" x14ac:dyDescent="0.25">
      <c r="A1475" s="1" t="str">
        <f>"1549-2020/27"</f>
        <v>1549-2020/27</v>
      </c>
      <c r="B1475" s="1" t="str">
        <f t="shared" si="256"/>
        <v>10.03.2020</v>
      </c>
      <c r="C1475" s="1" t="str">
        <f t="shared" si="258"/>
        <v>Закрито</v>
      </c>
      <c r="D147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75" s="1" t="str">
        <f>"Земельні питання"</f>
        <v>Земельні питання</v>
      </c>
      <c r="F14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75" s="1" t="str">
        <f>"3"</f>
        <v>3</v>
      </c>
      <c r="H1475" s="1" t="str">
        <f>"Результат"</f>
        <v>Результат</v>
      </c>
      <c r="I1475" s="1" t="str">
        <f t="shared" si="254"/>
        <v>Позитивний</v>
      </c>
      <c r="J1475" s="1" t="str">
        <f>"Ні"</f>
        <v>Ні</v>
      </c>
    </row>
    <row r="1476" spans="1:10" ht="45" x14ac:dyDescent="0.25">
      <c r="A1476" s="1" t="str">
        <f>"1562-2020/27"</f>
        <v>1562-2020/27</v>
      </c>
      <c r="B1476" s="1" t="str">
        <f t="shared" si="256"/>
        <v>10.03.2020</v>
      </c>
      <c r="C1476" s="1" t="str">
        <f t="shared" si="258"/>
        <v>Закрито</v>
      </c>
      <c r="D1476" s="1" t="str">
        <f>"Зняття з реєстрації місця проживання"</f>
        <v>Зняття з реєстрації місця проживання</v>
      </c>
      <c r="E1476" s="1" t="str">
        <f>"Реєстрація місця проживання"</f>
        <v>Реєстрація місця проживання</v>
      </c>
      <c r="F1476" s="1" t="str">
        <f>"Відділ реєстрації Новокаховської міської ради"</f>
        <v>Відділ реєстрації Новокаховської міської ради</v>
      </c>
      <c r="G1476" s="1" t="str">
        <f>"1"</f>
        <v>1</v>
      </c>
      <c r="H1476" s="1" t="str">
        <f>"Результат"</f>
        <v>Результат</v>
      </c>
      <c r="I1476" s="1" t="str">
        <f t="shared" si="254"/>
        <v>Позитивний</v>
      </c>
      <c r="J1476" s="1" t="str">
        <f>"Так"</f>
        <v>Так</v>
      </c>
    </row>
    <row r="1477" spans="1:10" ht="90" x14ac:dyDescent="0.25">
      <c r="A1477" s="1" t="str">
        <f>"1532-2020/27"</f>
        <v>1532-2020/27</v>
      </c>
      <c r="B1477" s="1" t="str">
        <f t="shared" si="256"/>
        <v>10.03.2020</v>
      </c>
      <c r="C1477" s="1" t="str">
        <f t="shared" si="258"/>
        <v>Закрито</v>
      </c>
      <c r="D147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77" s="1" t="str">
        <f>"Інші послуги"</f>
        <v>Інші послуги</v>
      </c>
      <c r="F147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77" s="1" t="str">
        <f>"5"</f>
        <v>5</v>
      </c>
      <c r="H1477" s="1" t="str">
        <f>"Результат"</f>
        <v>Результат</v>
      </c>
      <c r="I1477" s="1" t="str">
        <f t="shared" si="254"/>
        <v>Позитивний</v>
      </c>
      <c r="J1477" s="1" t="str">
        <f>"Ні"</f>
        <v>Ні</v>
      </c>
    </row>
    <row r="1478" spans="1:10" ht="225" x14ac:dyDescent="0.25">
      <c r="A1478" s="1" t="str">
        <f>"1543-2020/27"</f>
        <v>1543-2020/27</v>
      </c>
      <c r="B1478" s="1" t="str">
        <f t="shared" si="256"/>
        <v>10.03.2020</v>
      </c>
      <c r="C1478" s="1" t="str">
        <f t="shared" ref="C1478:C1486" si="259">"Закрито"</f>
        <v>Закрито</v>
      </c>
      <c r="D1478" s="1" t="s">
        <v>0</v>
      </c>
      <c r="E1478" s="1" t="str">
        <f>"Будівництво"</f>
        <v>Будівництво</v>
      </c>
      <c r="F147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78" s="1" t="str">
        <f>"10"</f>
        <v>10</v>
      </c>
      <c r="H1478" s="1" t="str">
        <f>"Результат"</f>
        <v>Результат</v>
      </c>
      <c r="I1478" s="1" t="str">
        <f t="shared" si="254"/>
        <v>Позитивний</v>
      </c>
      <c r="J1478" s="1" t="str">
        <f>"Ні"</f>
        <v>Ні</v>
      </c>
    </row>
    <row r="1479" spans="1:10" ht="45" x14ac:dyDescent="0.25">
      <c r="A1479" s="1" t="str">
        <f>"1535-2020/27"</f>
        <v>1535-2020/27</v>
      </c>
      <c r="B1479" s="1" t="str">
        <f t="shared" si="256"/>
        <v>10.03.2020</v>
      </c>
      <c r="C1479" s="1" t="str">
        <f t="shared" si="259"/>
        <v>Закрито</v>
      </c>
      <c r="D1479" s="1" t="str">
        <f>"Зняття з реєстрації місця проживання"</f>
        <v>Зняття з реєстрації місця проживання</v>
      </c>
      <c r="E1479" s="1" t="str">
        <f>"Реєстрація місця проживання"</f>
        <v>Реєстрація місця проживання</v>
      </c>
      <c r="F1479" s="1" t="str">
        <f>"Відділ реєстрації Новокаховської міської ради"</f>
        <v>Відділ реєстрації Новокаховської міської ради</v>
      </c>
      <c r="G1479" s="1" t="str">
        <f>"1"</f>
        <v>1</v>
      </c>
      <c r="H1479" s="1" t="str">
        <f>"Результат"</f>
        <v>Результат</v>
      </c>
      <c r="I1479" s="1" t="str">
        <f t="shared" si="254"/>
        <v>Позитивний</v>
      </c>
      <c r="J1479" s="1" t="str">
        <f>"Так"</f>
        <v>Так</v>
      </c>
    </row>
    <row r="1480" spans="1:10" ht="45" x14ac:dyDescent="0.25">
      <c r="A1480" s="1" t="str">
        <f>"1526-2020/27"</f>
        <v>1526-2020/27</v>
      </c>
      <c r="B1480" s="1" t="str">
        <f t="shared" si="256"/>
        <v>10.03.2020</v>
      </c>
      <c r="C1480" s="1" t="str">
        <f t="shared" si="259"/>
        <v>Закрито</v>
      </c>
      <c r="D1480" s="1" t="str">
        <f>"Реєстрація місця проживання особи"</f>
        <v>Реєстрація місця проживання особи</v>
      </c>
      <c r="E1480" s="1" t="str">
        <f>"Реєстрація місця проживання"</f>
        <v>Реєстрація місця проживання</v>
      </c>
      <c r="F1480" s="1" t="str">
        <f>"Відділ реєстрації Новокаховської міської ради"</f>
        <v>Відділ реєстрації Новокаховської міської ради</v>
      </c>
      <c r="G1480" s="1" t="str">
        <f>"1"</f>
        <v>1</v>
      </c>
      <c r="H1480" s="1" t="str">
        <f>"Результат"</f>
        <v>Результат</v>
      </c>
      <c r="I1480" s="1" t="str">
        <f t="shared" si="254"/>
        <v>Позитивний</v>
      </c>
      <c r="J1480" s="1" t="str">
        <f>"Так"</f>
        <v>Так</v>
      </c>
    </row>
    <row r="1481" spans="1:10" ht="135" x14ac:dyDescent="0.25">
      <c r="A1481" s="1" t="str">
        <f>"1546-2020/27"</f>
        <v>1546-2020/27</v>
      </c>
      <c r="B1481" s="1" t="str">
        <f t="shared" si="256"/>
        <v>10.03.2020</v>
      </c>
      <c r="C1481" s="1" t="str">
        <f t="shared" si="259"/>
        <v>Закрито</v>
      </c>
      <c r="D148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81" s="1" t="str">
        <f>"Земельні питання"</f>
        <v>Земельні питання</v>
      </c>
      <c r="F14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81" s="1" t="str">
        <f>"3"</f>
        <v>3</v>
      </c>
      <c r="H1481" s="1" t="str">
        <f>"Результат"</f>
        <v>Результат</v>
      </c>
      <c r="I1481" s="1" t="str">
        <f t="shared" si="254"/>
        <v>Позитивний</v>
      </c>
      <c r="J1481" s="1" t="str">
        <f>"Ні"</f>
        <v>Ні</v>
      </c>
    </row>
    <row r="1482" spans="1:10" ht="225" x14ac:dyDescent="0.25">
      <c r="A1482" s="1" t="str">
        <f>"1542-2020/27"</f>
        <v>1542-2020/27</v>
      </c>
      <c r="B1482" s="1" t="str">
        <f t="shared" si="256"/>
        <v>10.03.2020</v>
      </c>
      <c r="C1482" s="1" t="str">
        <f t="shared" si="259"/>
        <v>Закрито</v>
      </c>
      <c r="D1482" s="1" t="s">
        <v>1</v>
      </c>
      <c r="E1482" s="1" t="str">
        <f>"Будівництво"</f>
        <v>Будівництво</v>
      </c>
      <c r="F148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82" s="1" t="str">
        <f>"30"</f>
        <v>30</v>
      </c>
      <c r="H1482" s="1" t="str">
        <f>"Результат"</f>
        <v>Результат</v>
      </c>
      <c r="I1482" s="1" t="str">
        <f t="shared" si="254"/>
        <v>Позитивний</v>
      </c>
      <c r="J1482" s="1" t="str">
        <f>"Ні"</f>
        <v>Ні</v>
      </c>
    </row>
    <row r="1483" spans="1:10" ht="45" x14ac:dyDescent="0.25">
      <c r="A1483" s="1" t="str">
        <f>"1557-2020/27"</f>
        <v>1557-2020/27</v>
      </c>
      <c r="B1483" s="1" t="str">
        <f t="shared" si="256"/>
        <v>10.03.2020</v>
      </c>
      <c r="C1483" s="1" t="str">
        <f t="shared" si="259"/>
        <v>Закрито</v>
      </c>
      <c r="D1483" s="1" t="str">
        <f>"Зняття з реєстрації місця проживання"</f>
        <v>Зняття з реєстрації місця проживання</v>
      </c>
      <c r="E1483" s="1" t="str">
        <f>"Реєстрація місця проживання"</f>
        <v>Реєстрація місця проживання</v>
      </c>
      <c r="F1483" s="1" t="str">
        <f>"Відділ реєстрації Новокаховської міської ради"</f>
        <v>Відділ реєстрації Новокаховської міської ради</v>
      </c>
      <c r="G1483" s="1" t="str">
        <f>"1"</f>
        <v>1</v>
      </c>
      <c r="H1483" s="1" t="str">
        <f>"Результат"</f>
        <v>Результат</v>
      </c>
      <c r="I1483" s="1" t="str">
        <f t="shared" si="254"/>
        <v>Позитивний</v>
      </c>
      <c r="J1483" s="1" t="str">
        <f>"Так"</f>
        <v>Так</v>
      </c>
    </row>
    <row r="1484" spans="1:10" ht="45" x14ac:dyDescent="0.25">
      <c r="A1484" s="1" t="str">
        <f>"1560-2020/27"</f>
        <v>1560-2020/27</v>
      </c>
      <c r="B1484" s="1" t="str">
        <f t="shared" si="256"/>
        <v>10.03.2020</v>
      </c>
      <c r="C1484" s="1" t="str">
        <f t="shared" si="259"/>
        <v>Закрито</v>
      </c>
      <c r="D1484" s="1" t="str">
        <f>"Реєстрація місця проживання особи"</f>
        <v>Реєстрація місця проживання особи</v>
      </c>
      <c r="E1484" s="1" t="str">
        <f>"Реєстрація місця проживання"</f>
        <v>Реєстрація місця проживання</v>
      </c>
      <c r="F1484" s="1" t="str">
        <f>"Відділ реєстрації Новокаховської міської ради"</f>
        <v>Відділ реєстрації Новокаховської міської ради</v>
      </c>
      <c r="G1484" s="1" t="str">
        <f>"1"</f>
        <v>1</v>
      </c>
      <c r="H1484" s="1" t="str">
        <f>"Результат"</f>
        <v>Результат</v>
      </c>
      <c r="I1484" s="1" t="str">
        <f t="shared" si="254"/>
        <v>Позитивний</v>
      </c>
      <c r="J1484" s="1" t="str">
        <f>"Так"</f>
        <v>Так</v>
      </c>
    </row>
    <row r="1485" spans="1:10" ht="135" x14ac:dyDescent="0.25">
      <c r="A1485" s="1" t="str">
        <f>"1567-2020/27"</f>
        <v>1567-2020/27</v>
      </c>
      <c r="B1485" s="1" t="str">
        <f t="shared" si="256"/>
        <v>10.03.2020</v>
      </c>
      <c r="C1485" s="1" t="str">
        <f t="shared" si="259"/>
        <v>Закрито</v>
      </c>
      <c r="D148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85" s="1" t="str">
        <f>"Земельні питання"</f>
        <v>Земельні питання</v>
      </c>
      <c r="F14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85" s="1" t="str">
        <f>"1"</f>
        <v>1</v>
      </c>
      <c r="H1485" s="1" t="str">
        <f>"Результат"</f>
        <v>Результат</v>
      </c>
      <c r="I1485" s="1" t="str">
        <f t="shared" si="254"/>
        <v>Позитивний</v>
      </c>
      <c r="J1485" s="1" t="str">
        <f>"Так"</f>
        <v>Так</v>
      </c>
    </row>
    <row r="1486" spans="1:10" ht="45" x14ac:dyDescent="0.25">
      <c r="A1486" s="1" t="str">
        <f>"1531-2020/27"</f>
        <v>1531-2020/27</v>
      </c>
      <c r="B1486" s="1" t="str">
        <f t="shared" si="256"/>
        <v>10.03.2020</v>
      </c>
      <c r="C1486" s="1" t="str">
        <f t="shared" si="259"/>
        <v>Закрито</v>
      </c>
      <c r="D1486" s="1" t="str">
        <f>"Зняття з реєстрації місця проживання"</f>
        <v>Зняття з реєстрації місця проживання</v>
      </c>
      <c r="E1486" s="1" t="str">
        <f>"Реєстрація місця проживання"</f>
        <v>Реєстрація місця проживання</v>
      </c>
      <c r="F1486" s="1" t="str">
        <f>"Відділ реєстрації Новокаховської міської ради"</f>
        <v>Відділ реєстрації Новокаховської міської ради</v>
      </c>
      <c r="G1486" s="1" t="str">
        <f>"1"</f>
        <v>1</v>
      </c>
      <c r="H1486" s="1" t="str">
        <f>"Результат"</f>
        <v>Результат</v>
      </c>
      <c r="I1486" s="1" t="str">
        <f t="shared" si="254"/>
        <v>Позитивний</v>
      </c>
      <c r="J1486" s="1" t="str">
        <f>"Так"</f>
        <v>Так</v>
      </c>
    </row>
    <row r="1487" spans="1:10" ht="225" x14ac:dyDescent="0.25">
      <c r="A1487" s="1" t="str">
        <f>"1539-2020/27"</f>
        <v>1539-2020/27</v>
      </c>
      <c r="B1487" s="1" t="str">
        <f t="shared" si="256"/>
        <v>10.03.2020</v>
      </c>
      <c r="C1487" s="1" t="str">
        <f t="shared" ref="C1487:C1495" si="260">"Закрито"</f>
        <v>Закрито</v>
      </c>
      <c r="D1487" s="1" t="s">
        <v>0</v>
      </c>
      <c r="E1487" s="1" t="str">
        <f>"Будівництво"</f>
        <v>Будівництво</v>
      </c>
      <c r="F148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87" s="1" t="str">
        <f>"10"</f>
        <v>10</v>
      </c>
      <c r="H1487" s="1" t="str">
        <f>"Результат"</f>
        <v>Результат</v>
      </c>
      <c r="I1487" s="1" t="str">
        <f t="shared" si="254"/>
        <v>Позитивний</v>
      </c>
      <c r="J1487" s="1" t="str">
        <f>"Ні"</f>
        <v>Ні</v>
      </c>
    </row>
    <row r="1488" spans="1:10" ht="135" x14ac:dyDescent="0.25">
      <c r="A1488" s="1" t="str">
        <f>"1528-2020/27"</f>
        <v>1528-2020/27</v>
      </c>
      <c r="B1488" s="1" t="str">
        <f t="shared" si="256"/>
        <v>10.03.2020</v>
      </c>
      <c r="C1488" s="1" t="str">
        <f t="shared" si="260"/>
        <v>Закрито</v>
      </c>
      <c r="D148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88" s="1" t="str">
        <f>"Земельні питання"</f>
        <v>Земельні питання</v>
      </c>
      <c r="F14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88" s="1" t="str">
        <f t="shared" ref="G1488:G1495" si="261">"1"</f>
        <v>1</v>
      </c>
      <c r="H1488" s="1" t="str">
        <f>"Результат"</f>
        <v>Результат</v>
      </c>
      <c r="I1488" s="1" t="str">
        <f t="shared" si="254"/>
        <v>Позитивний</v>
      </c>
      <c r="J1488" s="1" t="str">
        <f t="shared" ref="J1488:J1495" si="262">"Так"</f>
        <v>Так</v>
      </c>
    </row>
    <row r="1489" spans="1:10" ht="135" x14ac:dyDescent="0.25">
      <c r="A1489" s="1" t="str">
        <f>"1529-2020/27"</f>
        <v>1529-2020/27</v>
      </c>
      <c r="B1489" s="1" t="str">
        <f t="shared" si="256"/>
        <v>10.03.2020</v>
      </c>
      <c r="C1489" s="1" t="str">
        <f t="shared" si="260"/>
        <v>Закрито</v>
      </c>
      <c r="D14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89" s="1" t="str">
        <f>"Земельні питання"</f>
        <v>Земельні питання</v>
      </c>
      <c r="F14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89" s="1" t="str">
        <f t="shared" si="261"/>
        <v>1</v>
      </c>
      <c r="H1489" s="1" t="str">
        <f>"Результат"</f>
        <v>Результат</v>
      </c>
      <c r="I1489" s="1" t="str">
        <f t="shared" si="254"/>
        <v>Позитивний</v>
      </c>
      <c r="J1489" s="1" t="str">
        <f t="shared" si="262"/>
        <v>Так</v>
      </c>
    </row>
    <row r="1490" spans="1:10" ht="105" x14ac:dyDescent="0.25">
      <c r="A1490" s="1" t="str">
        <f>"1568-2020/27"</f>
        <v>1568-2020/27</v>
      </c>
      <c r="B1490" s="1" t="str">
        <f t="shared" si="256"/>
        <v>10.03.2020</v>
      </c>
      <c r="C1490" s="1" t="str">
        <f t="shared" si="260"/>
        <v>Закрито</v>
      </c>
      <c r="D14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90" s="1" t="str">
        <f>"Земельні питання"</f>
        <v>Земельні питання</v>
      </c>
      <c r="F149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490" s="1" t="str">
        <f t="shared" si="261"/>
        <v>1</v>
      </c>
      <c r="H1490" s="1" t="str">
        <f>"Результат"</f>
        <v>Результат</v>
      </c>
      <c r="I1490" s="1" t="str">
        <f t="shared" si="254"/>
        <v>Позитивний</v>
      </c>
      <c r="J1490" s="1" t="str">
        <f t="shared" si="262"/>
        <v>Так</v>
      </c>
    </row>
    <row r="1491" spans="1:10" ht="45" x14ac:dyDescent="0.25">
      <c r="A1491" s="1" t="str">
        <f>"1564-2020/27"</f>
        <v>1564-2020/27</v>
      </c>
      <c r="B1491" s="1" t="str">
        <f t="shared" si="256"/>
        <v>10.03.2020</v>
      </c>
      <c r="C1491" s="1" t="str">
        <f t="shared" si="260"/>
        <v>Закрито</v>
      </c>
      <c r="D1491" s="1" t="str">
        <f>"Реєстрація місця проживання особи"</f>
        <v>Реєстрація місця проживання особи</v>
      </c>
      <c r="E1491" s="1" t="str">
        <f>"Реєстрація місця проживання"</f>
        <v>Реєстрація місця проживання</v>
      </c>
      <c r="F1491" s="1" t="str">
        <f>"Відділ реєстрації Новокаховської міської ради"</f>
        <v>Відділ реєстрації Новокаховської міської ради</v>
      </c>
      <c r="G1491" s="1" t="str">
        <f t="shared" si="261"/>
        <v>1</v>
      </c>
      <c r="H1491" s="1" t="str">
        <f>"Результат"</f>
        <v>Результат</v>
      </c>
      <c r="I1491" s="1" t="str">
        <f t="shared" si="254"/>
        <v>Позитивний</v>
      </c>
      <c r="J1491" s="1" t="str">
        <f t="shared" si="262"/>
        <v>Так</v>
      </c>
    </row>
    <row r="1492" spans="1:10" ht="105" x14ac:dyDescent="0.25">
      <c r="A1492" s="1" t="str">
        <f>"1544-2020/27"</f>
        <v>1544-2020/27</v>
      </c>
      <c r="B1492" s="1" t="str">
        <f t="shared" si="256"/>
        <v>10.03.2020</v>
      </c>
      <c r="C1492" s="1" t="str">
        <f t="shared" si="260"/>
        <v>Закрито</v>
      </c>
      <c r="D14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492" s="1" t="str">
        <f>"Земельні питання"</f>
        <v>Земельні питання</v>
      </c>
      <c r="F149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492" s="1" t="str">
        <f t="shared" si="261"/>
        <v>1</v>
      </c>
      <c r="H1492" s="1" t="str">
        <f>"Результат"</f>
        <v>Результат</v>
      </c>
      <c r="I1492" s="1" t="str">
        <f t="shared" si="254"/>
        <v>Позитивний</v>
      </c>
      <c r="J1492" s="1" t="str">
        <f t="shared" si="262"/>
        <v>Так</v>
      </c>
    </row>
    <row r="1493" spans="1:10" ht="45" x14ac:dyDescent="0.25">
      <c r="A1493" s="1" t="str">
        <f>"1545-2020/27"</f>
        <v>1545-2020/27</v>
      </c>
      <c r="B1493" s="1" t="str">
        <f t="shared" si="256"/>
        <v>10.03.2020</v>
      </c>
      <c r="C1493" s="1" t="str">
        <f t="shared" si="260"/>
        <v>Закрито</v>
      </c>
      <c r="D1493" s="1" t="str">
        <f>"Реєстрація місця проживання особи"</f>
        <v>Реєстрація місця проживання особи</v>
      </c>
      <c r="E1493" s="1" t="str">
        <f>"Реєстрація місця проживання"</f>
        <v>Реєстрація місця проживання</v>
      </c>
      <c r="F1493" s="1" t="str">
        <f>"Відділ реєстрації Новокаховської міської ради"</f>
        <v>Відділ реєстрації Новокаховської міської ради</v>
      </c>
      <c r="G1493" s="1" t="str">
        <f t="shared" si="261"/>
        <v>1</v>
      </c>
      <c r="H1493" s="1" t="str">
        <f>"Результат"</f>
        <v>Результат</v>
      </c>
      <c r="I1493" s="1" t="str">
        <f t="shared" si="254"/>
        <v>Позитивний</v>
      </c>
      <c r="J1493" s="1" t="str">
        <f t="shared" si="262"/>
        <v>Так</v>
      </c>
    </row>
    <row r="1494" spans="1:10" ht="45" x14ac:dyDescent="0.25">
      <c r="A1494" s="1" t="str">
        <f>"1536-2020/27"</f>
        <v>1536-2020/27</v>
      </c>
      <c r="B1494" s="1" t="str">
        <f t="shared" si="256"/>
        <v>10.03.2020</v>
      </c>
      <c r="C1494" s="1" t="str">
        <f t="shared" si="260"/>
        <v>Закрито</v>
      </c>
      <c r="D1494" s="1" t="str">
        <f>"Реєстрація місця проживання особи"</f>
        <v>Реєстрація місця проживання особи</v>
      </c>
      <c r="E1494" s="1" t="str">
        <f>"Реєстрація місця проживання"</f>
        <v>Реєстрація місця проживання</v>
      </c>
      <c r="F1494" s="1" t="str">
        <f>"Відділ реєстрації Новокаховської міської ради"</f>
        <v>Відділ реєстрації Новокаховської міської ради</v>
      </c>
      <c r="G1494" s="1" t="str">
        <f t="shared" si="261"/>
        <v>1</v>
      </c>
      <c r="H1494" s="1" t="str">
        <f>"Результат"</f>
        <v>Результат</v>
      </c>
      <c r="I1494" s="1" t="str">
        <f t="shared" si="254"/>
        <v>Позитивний</v>
      </c>
      <c r="J1494" s="1" t="str">
        <f t="shared" si="262"/>
        <v>Так</v>
      </c>
    </row>
    <row r="1495" spans="1:10" ht="45" x14ac:dyDescent="0.25">
      <c r="A1495" s="1" t="str">
        <f>"1530-2020/27"</f>
        <v>1530-2020/27</v>
      </c>
      <c r="B1495" s="1" t="str">
        <f t="shared" si="256"/>
        <v>10.03.2020</v>
      </c>
      <c r="C1495" s="1" t="str">
        <f t="shared" si="260"/>
        <v>Закрито</v>
      </c>
      <c r="D1495" s="1" t="str">
        <f>"Реєстрація місця проживання особи"</f>
        <v>Реєстрація місця проживання особи</v>
      </c>
      <c r="E1495" s="1" t="str">
        <f>"Реєстрація місця проживання"</f>
        <v>Реєстрація місця проживання</v>
      </c>
      <c r="F1495" s="1" t="str">
        <f>"Відділ реєстрації Новокаховської міської ради"</f>
        <v>Відділ реєстрації Новокаховської міської ради</v>
      </c>
      <c r="G1495" s="1" t="str">
        <f t="shared" si="261"/>
        <v>1</v>
      </c>
      <c r="H1495" s="1" t="str">
        <f>"Результат"</f>
        <v>Результат</v>
      </c>
      <c r="I1495" s="1" t="str">
        <f t="shared" si="254"/>
        <v>Позитивний</v>
      </c>
      <c r="J1495" s="1" t="str">
        <f t="shared" si="262"/>
        <v>Так</v>
      </c>
    </row>
    <row r="1496" spans="1:10" ht="225" x14ac:dyDescent="0.25">
      <c r="A1496" s="1" t="str">
        <f>"1541-2020/27"</f>
        <v>1541-2020/27</v>
      </c>
      <c r="B1496" s="1" t="str">
        <f t="shared" si="256"/>
        <v>10.03.2020</v>
      </c>
      <c r="C1496" s="1" t="str">
        <f t="shared" ref="C1496:C1524" si="263">"Закрито"</f>
        <v>Закрито</v>
      </c>
      <c r="D1496" s="1" t="s">
        <v>1</v>
      </c>
      <c r="E1496" s="1" t="str">
        <f>"Будівництво"</f>
        <v>Будівництво</v>
      </c>
      <c r="F149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496" s="1" t="str">
        <f>"30"</f>
        <v>30</v>
      </c>
      <c r="H1496" s="1" t="str">
        <f>"Результат"</f>
        <v>Результат</v>
      </c>
      <c r="I1496" s="1" t="str">
        <f t="shared" si="254"/>
        <v>Позитивний</v>
      </c>
      <c r="J1496" s="1" t="str">
        <f>"Ні"</f>
        <v>Ні</v>
      </c>
    </row>
    <row r="1497" spans="1:10" ht="45" x14ac:dyDescent="0.25">
      <c r="A1497" s="1" t="str">
        <f>"1533-2020/27"</f>
        <v>1533-2020/27</v>
      </c>
      <c r="B1497" s="1" t="str">
        <f t="shared" si="256"/>
        <v>10.03.2020</v>
      </c>
      <c r="C1497" s="1" t="str">
        <f t="shared" si="263"/>
        <v>Закрито</v>
      </c>
      <c r="D1497" s="1" t="str">
        <f>"Реєстрація місця проживання особи"</f>
        <v>Реєстрація місця проживання особи</v>
      </c>
      <c r="E1497" s="1" t="str">
        <f>"Реєстрація місця проживання"</f>
        <v>Реєстрація місця проживання</v>
      </c>
      <c r="F1497" s="1" t="str">
        <f>"Відділ реєстрації Новокаховської міської ради"</f>
        <v>Відділ реєстрації Новокаховської міської ради</v>
      </c>
      <c r="G1497" s="1" t="str">
        <f>"1"</f>
        <v>1</v>
      </c>
      <c r="H1497" s="1" t="str">
        <f>"Результат"</f>
        <v>Результат</v>
      </c>
      <c r="I1497" s="1" t="str">
        <f t="shared" si="254"/>
        <v>Позитивний</v>
      </c>
      <c r="J1497" s="1" t="str">
        <f>"Так"</f>
        <v>Так</v>
      </c>
    </row>
    <row r="1498" spans="1:10" ht="135" x14ac:dyDescent="0.25">
      <c r="A1498" s="1" t="str">
        <f>"1556-2020/27"</f>
        <v>1556-2020/27</v>
      </c>
      <c r="B1498" s="1" t="str">
        <f t="shared" si="256"/>
        <v>10.03.2020</v>
      </c>
      <c r="C1498" s="1" t="str">
        <f t="shared" si="263"/>
        <v>Закрито</v>
      </c>
      <c r="D14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498" s="1" t="str">
        <f>"Земельні питання"</f>
        <v>Земельні питання</v>
      </c>
      <c r="F14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498" s="1" t="str">
        <f>"3"</f>
        <v>3</v>
      </c>
      <c r="H1498" s="1" t="str">
        <f>"Результат"</f>
        <v>Результат</v>
      </c>
      <c r="I1498" s="1" t="str">
        <f t="shared" si="254"/>
        <v>Позитивний</v>
      </c>
      <c r="J1498" s="1" t="str">
        <f>"Ні"</f>
        <v>Ні</v>
      </c>
    </row>
    <row r="1499" spans="1:10" ht="90" x14ac:dyDescent="0.25">
      <c r="A1499" s="1" t="str">
        <f>"1522-2020/27"</f>
        <v>1522-2020/27</v>
      </c>
      <c r="B1499" s="1" t="str">
        <f t="shared" si="256"/>
        <v>10.03.2020</v>
      </c>
      <c r="C1499" s="1" t="str">
        <f t="shared" si="263"/>
        <v>Закрито</v>
      </c>
      <c r="D149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499" s="1" t="str">
        <f>"Інші послуги"</f>
        <v>Інші послуги</v>
      </c>
      <c r="F149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499" s="1" t="str">
        <f>"5"</f>
        <v>5</v>
      </c>
      <c r="H1499" s="1" t="str">
        <f>"Результат"</f>
        <v>Результат</v>
      </c>
      <c r="I1499" s="1" t="str">
        <f t="shared" si="254"/>
        <v>Позитивний</v>
      </c>
      <c r="J1499" s="1" t="str">
        <f>"Ні"</f>
        <v>Ні</v>
      </c>
    </row>
    <row r="1500" spans="1:10" ht="135" x14ac:dyDescent="0.25">
      <c r="A1500" s="1" t="str">
        <f>"1550-2020/27"</f>
        <v>1550-2020/27</v>
      </c>
      <c r="B1500" s="1" t="str">
        <f t="shared" si="256"/>
        <v>10.03.2020</v>
      </c>
      <c r="C1500" s="1" t="str">
        <f t="shared" si="263"/>
        <v>Закрито</v>
      </c>
      <c r="D15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00" s="1" t="str">
        <f>"Земельні питання"</f>
        <v>Земельні питання</v>
      </c>
      <c r="F15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00" s="1" t="str">
        <f>"3"</f>
        <v>3</v>
      </c>
      <c r="H1500" s="1" t="str">
        <f>"Результат"</f>
        <v>Результат</v>
      </c>
      <c r="I1500" s="1" t="str">
        <f t="shared" si="254"/>
        <v>Позитивний</v>
      </c>
      <c r="J1500" s="1" t="str">
        <f>"Ні"</f>
        <v>Ні</v>
      </c>
    </row>
    <row r="1501" spans="1:10" ht="45" x14ac:dyDescent="0.25">
      <c r="A1501" s="1" t="str">
        <f>"1534-2020/27"</f>
        <v>1534-2020/27</v>
      </c>
      <c r="B1501" s="1" t="str">
        <f t="shared" si="256"/>
        <v>10.03.2020</v>
      </c>
      <c r="C1501" s="1" t="str">
        <f t="shared" si="263"/>
        <v>Закрито</v>
      </c>
      <c r="D1501" s="1" t="str">
        <f>"Зняття з реєстрації місця проживання"</f>
        <v>Зняття з реєстрації місця проживання</v>
      </c>
      <c r="E1501" s="1" t="str">
        <f>"Реєстрація місця проживання"</f>
        <v>Реєстрація місця проживання</v>
      </c>
      <c r="F1501" s="1" t="str">
        <f>"Відділ реєстрації Новокаховської міської ради"</f>
        <v>Відділ реєстрації Новокаховської міської ради</v>
      </c>
      <c r="G1501" s="1" t="str">
        <f>"1"</f>
        <v>1</v>
      </c>
      <c r="H1501" s="1" t="str">
        <f>"Результат"</f>
        <v>Результат</v>
      </c>
      <c r="I1501" s="1" t="str">
        <f t="shared" si="254"/>
        <v>Позитивний</v>
      </c>
      <c r="J1501" s="1" t="str">
        <f>"Так"</f>
        <v>Так</v>
      </c>
    </row>
    <row r="1502" spans="1:10" ht="135" x14ac:dyDescent="0.25">
      <c r="A1502" s="1" t="str">
        <f>"1547-2020/27"</f>
        <v>1547-2020/27</v>
      </c>
      <c r="B1502" s="1" t="str">
        <f t="shared" si="256"/>
        <v>10.03.2020</v>
      </c>
      <c r="C1502" s="1" t="str">
        <f t="shared" si="263"/>
        <v>Закрито</v>
      </c>
      <c r="D15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02" s="1" t="str">
        <f>"Земельні питання"</f>
        <v>Земельні питання</v>
      </c>
      <c r="F15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02" s="1" t="str">
        <f>"3"</f>
        <v>3</v>
      </c>
      <c r="H1502" s="1" t="str">
        <f>"Результат"</f>
        <v>Результат</v>
      </c>
      <c r="I1502" s="1" t="str">
        <f t="shared" si="254"/>
        <v>Позитивний</v>
      </c>
      <c r="J1502" s="1" t="str">
        <f>"Ні"</f>
        <v>Ні</v>
      </c>
    </row>
    <row r="1503" spans="1:10" ht="45" x14ac:dyDescent="0.25">
      <c r="A1503" s="1" t="str">
        <f>"1553-2020/27"</f>
        <v>1553-2020/27</v>
      </c>
      <c r="B1503" s="1" t="str">
        <f t="shared" si="256"/>
        <v>10.03.2020</v>
      </c>
      <c r="C1503" s="1" t="str">
        <f t="shared" si="263"/>
        <v>Закрито</v>
      </c>
      <c r="D1503" s="1" t="str">
        <f>"Зняття з реєстрації місця проживання"</f>
        <v>Зняття з реєстрації місця проживання</v>
      </c>
      <c r="E1503" s="1" t="str">
        <f>"Реєстрація місця проживання"</f>
        <v>Реєстрація місця проживання</v>
      </c>
      <c r="F1503" s="1" t="str">
        <f>"Відділ реєстрації Новокаховської міської ради"</f>
        <v>Відділ реєстрації Новокаховської міської ради</v>
      </c>
      <c r="G1503" s="1" t="str">
        <f>"1"</f>
        <v>1</v>
      </c>
      <c r="H1503" s="1" t="str">
        <f>"Результат"</f>
        <v>Результат</v>
      </c>
      <c r="I1503" s="1" t="str">
        <f t="shared" si="254"/>
        <v>Позитивний</v>
      </c>
      <c r="J1503" s="1" t="str">
        <f>"Так"</f>
        <v>Так</v>
      </c>
    </row>
    <row r="1504" spans="1:10" ht="135" x14ac:dyDescent="0.25">
      <c r="A1504" s="1" t="str">
        <f>"1552-2020/27"</f>
        <v>1552-2020/27</v>
      </c>
      <c r="B1504" s="1" t="str">
        <f t="shared" si="256"/>
        <v>10.03.2020</v>
      </c>
      <c r="C1504" s="1" t="str">
        <f t="shared" si="263"/>
        <v>Закрито</v>
      </c>
      <c r="D150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504" s="1" t="str">
        <f>"Земельні питання"</f>
        <v>Земельні питання</v>
      </c>
      <c r="F15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04" s="1" t="str">
        <f>"14"</f>
        <v>14</v>
      </c>
      <c r="H1504" s="1" t="str">
        <f>"Результат"</f>
        <v>Результат</v>
      </c>
      <c r="I1504" s="1" t="str">
        <f>"Мотивована відмова"</f>
        <v>Мотивована відмова</v>
      </c>
      <c r="J1504" s="1" t="str">
        <f>"Ні"</f>
        <v>Ні</v>
      </c>
    </row>
    <row r="1505" spans="1:10" ht="45" x14ac:dyDescent="0.25">
      <c r="A1505" s="1" t="str">
        <f>"1563-2020/27"</f>
        <v>1563-2020/27</v>
      </c>
      <c r="B1505" s="1" t="str">
        <f t="shared" si="256"/>
        <v>10.03.2020</v>
      </c>
      <c r="C1505" s="1" t="str">
        <f t="shared" si="263"/>
        <v>Закрито</v>
      </c>
      <c r="D1505" s="1" t="str">
        <f>"Зняття з реєстрації місця проживання"</f>
        <v>Зняття з реєстрації місця проживання</v>
      </c>
      <c r="E1505" s="1" t="str">
        <f>"Реєстрація місця проживання"</f>
        <v>Реєстрація місця проживання</v>
      </c>
      <c r="F1505" s="1" t="str">
        <f>"Відділ реєстрації Новокаховської міської ради"</f>
        <v>Відділ реєстрації Новокаховської міської ради</v>
      </c>
      <c r="G1505" s="1" t="str">
        <f>"1"</f>
        <v>1</v>
      </c>
      <c r="H1505" s="1" t="str">
        <f>"Результат"</f>
        <v>Результат</v>
      </c>
      <c r="I1505" s="1" t="str">
        <f t="shared" ref="I1505:I1537" si="264">"Позитивний"</f>
        <v>Позитивний</v>
      </c>
      <c r="J1505" s="1" t="str">
        <f>"Так"</f>
        <v>Так</v>
      </c>
    </row>
    <row r="1506" spans="1:10" ht="105" x14ac:dyDescent="0.25">
      <c r="A1506" s="1" t="str">
        <f>"1566-2020/27"</f>
        <v>1566-2020/27</v>
      </c>
      <c r="B1506" s="1" t="str">
        <f t="shared" si="256"/>
        <v>10.03.2020</v>
      </c>
      <c r="C1506" s="1" t="str">
        <f t="shared" si="263"/>
        <v>Закрито</v>
      </c>
      <c r="D150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06" s="1" t="str">
        <f>"Земельні питання"</f>
        <v>Земельні питання</v>
      </c>
      <c r="F150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506" s="1" t="str">
        <f>"1"</f>
        <v>1</v>
      </c>
      <c r="H1506" s="1" t="str">
        <f>"Результат"</f>
        <v>Результат</v>
      </c>
      <c r="I1506" s="1" t="str">
        <f t="shared" si="264"/>
        <v>Позитивний</v>
      </c>
      <c r="J1506" s="1" t="str">
        <f>"Так"</f>
        <v>Так</v>
      </c>
    </row>
    <row r="1507" spans="1:10" ht="135" x14ac:dyDescent="0.25">
      <c r="A1507" s="1" t="str">
        <f>"1554-2020/27"</f>
        <v>1554-2020/27</v>
      </c>
      <c r="B1507" s="1" t="str">
        <f t="shared" si="256"/>
        <v>10.03.2020</v>
      </c>
      <c r="C1507" s="1" t="str">
        <f t="shared" si="263"/>
        <v>Закрито</v>
      </c>
      <c r="D150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07" s="1" t="str">
        <f>"Земельні питання"</f>
        <v>Земельні питання</v>
      </c>
      <c r="F15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07" s="1" t="str">
        <f>"3"</f>
        <v>3</v>
      </c>
      <c r="H1507" s="1" t="str">
        <f>"Результат"</f>
        <v>Результат</v>
      </c>
      <c r="I1507" s="1" t="str">
        <f t="shared" si="264"/>
        <v>Позитивний</v>
      </c>
      <c r="J1507" s="1" t="str">
        <f>"Ні"</f>
        <v>Ні</v>
      </c>
    </row>
    <row r="1508" spans="1:10" ht="45" x14ac:dyDescent="0.25">
      <c r="A1508" s="1" t="str">
        <f>"1537-2020/27"</f>
        <v>1537-2020/27</v>
      </c>
      <c r="B1508" s="1" t="str">
        <f t="shared" si="256"/>
        <v>10.03.2020</v>
      </c>
      <c r="C1508" s="1" t="str">
        <f t="shared" si="263"/>
        <v>Закрито</v>
      </c>
      <c r="D1508" s="1" t="str">
        <f>"Реєстрація місця проживання особи"</f>
        <v>Реєстрація місця проживання особи</v>
      </c>
      <c r="E1508" s="1" t="str">
        <f>"Реєстрація місця проживання"</f>
        <v>Реєстрація місця проживання</v>
      </c>
      <c r="F1508" s="1" t="str">
        <f>"Відділ реєстрації Новокаховської міської ради"</f>
        <v>Відділ реєстрації Новокаховської міської ради</v>
      </c>
      <c r="G1508" s="1" t="str">
        <f>"1"</f>
        <v>1</v>
      </c>
      <c r="H1508" s="1" t="str">
        <f>"Результат"</f>
        <v>Результат</v>
      </c>
      <c r="I1508" s="1" t="str">
        <f t="shared" si="264"/>
        <v>Позитивний</v>
      </c>
      <c r="J1508" s="1" t="str">
        <f>"Так"</f>
        <v>Так</v>
      </c>
    </row>
    <row r="1509" spans="1:10" ht="90" x14ac:dyDescent="0.25">
      <c r="A1509" s="1" t="str">
        <f>"1524-2020/27"</f>
        <v>1524-2020/27</v>
      </c>
      <c r="B1509" s="1" t="str">
        <f t="shared" si="256"/>
        <v>10.03.2020</v>
      </c>
      <c r="C1509" s="1" t="str">
        <f t="shared" si="263"/>
        <v>Закрито</v>
      </c>
      <c r="D150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09" s="1" t="str">
        <f>"Інші послуги"</f>
        <v>Інші послуги</v>
      </c>
      <c r="F150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09" s="1" t="str">
        <f>"5"</f>
        <v>5</v>
      </c>
      <c r="H1509" s="1" t="str">
        <f>"Результат"</f>
        <v>Результат</v>
      </c>
      <c r="I1509" s="1" t="str">
        <f t="shared" si="264"/>
        <v>Позитивний</v>
      </c>
      <c r="J1509" s="1" t="str">
        <f>"Ні"</f>
        <v>Ні</v>
      </c>
    </row>
    <row r="1510" spans="1:10" ht="135" x14ac:dyDescent="0.25">
      <c r="A1510" s="1" t="str">
        <f>"1523-2020/27"</f>
        <v>1523-2020/27</v>
      </c>
      <c r="B1510" s="1" t="str">
        <f t="shared" si="256"/>
        <v>10.03.2020</v>
      </c>
      <c r="C1510" s="1" t="str">
        <f t="shared" si="263"/>
        <v>Закрито</v>
      </c>
      <c r="D151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10" s="1" t="str">
        <f>"Земельні питання"</f>
        <v>Земельні питання</v>
      </c>
      <c r="F15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10" s="1" t="str">
        <f>"1"</f>
        <v>1</v>
      </c>
      <c r="H1510" s="1" t="str">
        <f>"Результат"</f>
        <v>Результат</v>
      </c>
      <c r="I1510" s="1" t="str">
        <f t="shared" si="264"/>
        <v>Позитивний</v>
      </c>
      <c r="J1510" s="1" t="str">
        <f>"Так"</f>
        <v>Так</v>
      </c>
    </row>
    <row r="1511" spans="1:10" ht="135" x14ac:dyDescent="0.25">
      <c r="A1511" s="1" t="str">
        <f>"1555-2020/27"</f>
        <v>1555-2020/27</v>
      </c>
      <c r="B1511" s="1" t="str">
        <f t="shared" si="256"/>
        <v>10.03.2020</v>
      </c>
      <c r="C1511" s="1" t="str">
        <f t="shared" si="263"/>
        <v>Закрито</v>
      </c>
      <c r="D151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11" s="1" t="str">
        <f>"Земельні питання"</f>
        <v>Земельні питання</v>
      </c>
      <c r="F15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11" s="1" t="str">
        <f>"3"</f>
        <v>3</v>
      </c>
      <c r="H1511" s="1" t="str">
        <f>"Результат"</f>
        <v>Результат</v>
      </c>
      <c r="I1511" s="1" t="str">
        <f t="shared" si="264"/>
        <v>Позитивний</v>
      </c>
      <c r="J1511" s="1" t="str">
        <f>"Ні"</f>
        <v>Ні</v>
      </c>
    </row>
    <row r="1512" spans="1:10" ht="105" x14ac:dyDescent="0.25">
      <c r="A1512" s="1" t="str">
        <f>"1558-2020/27"</f>
        <v>1558-2020/27</v>
      </c>
      <c r="B1512" s="1" t="str">
        <f t="shared" si="256"/>
        <v>10.03.2020</v>
      </c>
      <c r="C1512" s="1" t="str">
        <f t="shared" si="263"/>
        <v>Закрито</v>
      </c>
      <c r="D151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12" s="1" t="str">
        <f>"Земельні питання"</f>
        <v>Земельні питання</v>
      </c>
      <c r="F151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512" s="1" t="str">
        <f>"1"</f>
        <v>1</v>
      </c>
      <c r="H1512" s="1" t="str">
        <f>"Результат"</f>
        <v>Результат</v>
      </c>
      <c r="I1512" s="1" t="str">
        <f t="shared" si="264"/>
        <v>Позитивний</v>
      </c>
      <c r="J1512" s="1" t="str">
        <f>"Так"</f>
        <v>Так</v>
      </c>
    </row>
    <row r="1513" spans="1:10" ht="135" x14ac:dyDescent="0.25">
      <c r="A1513" s="1" t="str">
        <f>"1565-2020/27"</f>
        <v>1565-2020/27</v>
      </c>
      <c r="B1513" s="1" t="str">
        <f t="shared" si="256"/>
        <v>10.03.2020</v>
      </c>
      <c r="C1513" s="1" t="str">
        <f t="shared" si="263"/>
        <v>Закрито</v>
      </c>
      <c r="D151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13" s="1" t="str">
        <f>"Земельні питання"</f>
        <v>Земельні питання</v>
      </c>
      <c r="F15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13" s="1" t="str">
        <f>"1"</f>
        <v>1</v>
      </c>
      <c r="H1513" s="1" t="str">
        <f>"Результат"</f>
        <v>Результат</v>
      </c>
      <c r="I1513" s="1" t="str">
        <f t="shared" si="264"/>
        <v>Позитивний</v>
      </c>
      <c r="J1513" s="1" t="str">
        <f>"Так"</f>
        <v>Так</v>
      </c>
    </row>
    <row r="1514" spans="1:10" ht="90" x14ac:dyDescent="0.25">
      <c r="A1514" s="1" t="str">
        <f>"1585-2020/27"</f>
        <v>1585-2020/27</v>
      </c>
      <c r="B1514" s="1" t="str">
        <f t="shared" ref="B1514:B1539" si="265">"11.03.2020"</f>
        <v>11.03.2020</v>
      </c>
      <c r="C1514" s="1" t="str">
        <f t="shared" si="263"/>
        <v>Закрито</v>
      </c>
      <c r="D151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14" s="1" t="str">
        <f>"Інші послуги"</f>
        <v>Інші послуги</v>
      </c>
      <c r="F151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14" s="1" t="str">
        <f>"5"</f>
        <v>5</v>
      </c>
      <c r="H1514" s="1" t="str">
        <f>"Результат"</f>
        <v>Результат</v>
      </c>
      <c r="I1514" s="1" t="str">
        <f t="shared" si="264"/>
        <v>Позитивний</v>
      </c>
      <c r="J1514" s="1" t="str">
        <f>"Ні"</f>
        <v>Ні</v>
      </c>
    </row>
    <row r="1515" spans="1:10" ht="45" x14ac:dyDescent="0.25">
      <c r="A1515" s="1" t="str">
        <f>"1592-2020/27"</f>
        <v>1592-2020/27</v>
      </c>
      <c r="B1515" s="1" t="str">
        <f t="shared" si="265"/>
        <v>11.03.2020</v>
      </c>
      <c r="C1515" s="1" t="str">
        <f t="shared" si="263"/>
        <v>Закрито</v>
      </c>
      <c r="D1515" s="1" t="str">
        <f>"Реєстрація місця проживання особи"</f>
        <v>Реєстрація місця проживання особи</v>
      </c>
      <c r="E1515" s="1" t="str">
        <f>"Реєстрація місця проживання"</f>
        <v>Реєстрація місця проживання</v>
      </c>
      <c r="F1515" s="1" t="str">
        <f>"Відділ реєстрації Новокаховської міської ради"</f>
        <v>Відділ реєстрації Новокаховської міської ради</v>
      </c>
      <c r="G1515" s="1" t="str">
        <f>"1"</f>
        <v>1</v>
      </c>
      <c r="H1515" s="1" t="str">
        <f>"Результат"</f>
        <v>Результат</v>
      </c>
      <c r="I1515" s="1" t="str">
        <f t="shared" si="264"/>
        <v>Позитивний</v>
      </c>
      <c r="J1515" s="1" t="str">
        <f>"Так"</f>
        <v>Так</v>
      </c>
    </row>
    <row r="1516" spans="1:10" ht="45" x14ac:dyDescent="0.25">
      <c r="A1516" s="1" t="str">
        <f>"1570-2020/27"</f>
        <v>1570-2020/27</v>
      </c>
      <c r="B1516" s="1" t="str">
        <f t="shared" si="265"/>
        <v>11.03.2020</v>
      </c>
      <c r="C1516" s="1" t="str">
        <f t="shared" si="263"/>
        <v>Закрито</v>
      </c>
      <c r="D1516" s="1" t="str">
        <f>"Зняття з реєстрації місця проживання"</f>
        <v>Зняття з реєстрації місця проживання</v>
      </c>
      <c r="E1516" s="1" t="str">
        <f>"Реєстрація місця проживання"</f>
        <v>Реєстрація місця проживання</v>
      </c>
      <c r="F1516" s="1" t="str">
        <f>"Відділ реєстрації Новокаховської міської ради"</f>
        <v>Відділ реєстрації Новокаховської міської ради</v>
      </c>
      <c r="G1516" s="1" t="str">
        <f>"1"</f>
        <v>1</v>
      </c>
      <c r="H1516" s="1" t="str">
        <f>"Результат"</f>
        <v>Результат</v>
      </c>
      <c r="I1516" s="1" t="str">
        <f t="shared" si="264"/>
        <v>Позитивний</v>
      </c>
      <c r="J1516" s="1" t="str">
        <f>"Так"</f>
        <v>Так</v>
      </c>
    </row>
    <row r="1517" spans="1:10" ht="45" x14ac:dyDescent="0.25">
      <c r="A1517" s="1" t="str">
        <f>"1573-2020/27"</f>
        <v>1573-2020/27</v>
      </c>
      <c r="B1517" s="1" t="str">
        <f t="shared" si="265"/>
        <v>11.03.2020</v>
      </c>
      <c r="C1517" s="1" t="str">
        <f t="shared" si="263"/>
        <v>Закрито</v>
      </c>
      <c r="D1517" s="1" t="str">
        <f>"Реєстрація місця проживання особи"</f>
        <v>Реєстрація місця проживання особи</v>
      </c>
      <c r="E1517" s="1" t="str">
        <f>"Реєстрація місця проживання"</f>
        <v>Реєстрація місця проживання</v>
      </c>
      <c r="F1517" s="1" t="str">
        <f>"Відділ реєстрації Новокаховської міської ради"</f>
        <v>Відділ реєстрації Новокаховської міської ради</v>
      </c>
      <c r="G1517" s="1" t="str">
        <f>"1"</f>
        <v>1</v>
      </c>
      <c r="H1517" s="1" t="str">
        <f>"Результат"</f>
        <v>Результат</v>
      </c>
      <c r="I1517" s="1" t="str">
        <f t="shared" si="264"/>
        <v>Позитивний</v>
      </c>
      <c r="J1517" s="1" t="str">
        <f>"Так"</f>
        <v>Так</v>
      </c>
    </row>
    <row r="1518" spans="1:10" ht="45" x14ac:dyDescent="0.25">
      <c r="A1518" s="1" t="str">
        <f>"1579-2020/27"</f>
        <v>1579-2020/27</v>
      </c>
      <c r="B1518" s="1" t="str">
        <f t="shared" si="265"/>
        <v>11.03.2020</v>
      </c>
      <c r="C1518" s="1" t="str">
        <f t="shared" si="263"/>
        <v>Закрито</v>
      </c>
      <c r="D1518" s="1" t="str">
        <f>"Зняття з реєстрації місця проживання"</f>
        <v>Зняття з реєстрації місця проживання</v>
      </c>
      <c r="E1518" s="1" t="str">
        <f>"Реєстрація місця проживання"</f>
        <v>Реєстрація місця проживання</v>
      </c>
      <c r="F1518" s="1" t="str">
        <f>"Відділ реєстрації Новокаховської міської ради"</f>
        <v>Відділ реєстрації Новокаховської міської ради</v>
      </c>
      <c r="G1518" s="1" t="str">
        <f>"1"</f>
        <v>1</v>
      </c>
      <c r="H1518" s="1" t="str">
        <f>"Результат"</f>
        <v>Результат</v>
      </c>
      <c r="I1518" s="1" t="str">
        <f t="shared" si="264"/>
        <v>Позитивний</v>
      </c>
      <c r="J1518" s="1" t="str">
        <f>"Так"</f>
        <v>Так</v>
      </c>
    </row>
    <row r="1519" spans="1:10" ht="45" x14ac:dyDescent="0.25">
      <c r="A1519" s="1" t="str">
        <f>"1577-2020/27"</f>
        <v>1577-2020/27</v>
      </c>
      <c r="B1519" s="1" t="str">
        <f t="shared" si="265"/>
        <v>11.03.2020</v>
      </c>
      <c r="C1519" s="1" t="str">
        <f t="shared" si="263"/>
        <v>Закрито</v>
      </c>
      <c r="D1519" s="1" t="str">
        <f>"Реєстрація місця проживання особи"</f>
        <v>Реєстрація місця проживання особи</v>
      </c>
      <c r="E1519" s="1" t="str">
        <f>"Реєстрація місця проживання"</f>
        <v>Реєстрація місця проживання</v>
      </c>
      <c r="F1519" s="1" t="str">
        <f>"Відділ реєстрації Новокаховської міської ради"</f>
        <v>Відділ реєстрації Новокаховської міської ради</v>
      </c>
      <c r="G1519" s="1" t="str">
        <f>"1"</f>
        <v>1</v>
      </c>
      <c r="H1519" s="1" t="str">
        <f>"Результат"</f>
        <v>Результат</v>
      </c>
      <c r="I1519" s="1" t="str">
        <f t="shared" si="264"/>
        <v>Позитивний</v>
      </c>
      <c r="J1519" s="1" t="str">
        <f>"Так"</f>
        <v>Так</v>
      </c>
    </row>
    <row r="1520" spans="1:10" ht="135" x14ac:dyDescent="0.25">
      <c r="A1520" s="1" t="str">
        <f>"1574-2020/27"</f>
        <v>1574-2020/27</v>
      </c>
      <c r="B1520" s="1" t="str">
        <f t="shared" si="265"/>
        <v>11.03.2020</v>
      </c>
      <c r="C1520" s="1" t="str">
        <f t="shared" si="263"/>
        <v>Закрито</v>
      </c>
      <c r="D152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20" s="1" t="str">
        <f>"Земельні питання"</f>
        <v>Земельні питання</v>
      </c>
      <c r="F15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20" s="1" t="str">
        <f>"3"</f>
        <v>3</v>
      </c>
      <c r="H1520" s="1" t="str">
        <f>"Результат"</f>
        <v>Результат</v>
      </c>
      <c r="I1520" s="1" t="str">
        <f t="shared" si="264"/>
        <v>Позитивний</v>
      </c>
      <c r="J1520" s="1" t="str">
        <f t="shared" ref="J1520:J1525" si="266">"Ні"</f>
        <v>Ні</v>
      </c>
    </row>
    <row r="1521" spans="1:10" ht="135" x14ac:dyDescent="0.25">
      <c r="A1521" s="1" t="str">
        <f>"1581-2020/27"</f>
        <v>1581-2020/27</v>
      </c>
      <c r="B1521" s="1" t="str">
        <f t="shared" si="265"/>
        <v>11.03.2020</v>
      </c>
      <c r="C1521" s="1" t="str">
        <f t="shared" si="263"/>
        <v>Закрито</v>
      </c>
      <c r="D152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521" s="1" t="str">
        <f>"Земельні питання"</f>
        <v>Земельні питання</v>
      </c>
      <c r="F15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21" s="1" t="str">
        <f>"14"</f>
        <v>14</v>
      </c>
      <c r="H1521" s="1" t="str">
        <f>"Результат"</f>
        <v>Результат</v>
      </c>
      <c r="I1521" s="1" t="str">
        <f t="shared" si="264"/>
        <v>Позитивний</v>
      </c>
      <c r="J1521" s="1" t="str">
        <f t="shared" si="266"/>
        <v>Ні</v>
      </c>
    </row>
    <row r="1522" spans="1:10" ht="135" x14ac:dyDescent="0.25">
      <c r="A1522" s="1" t="str">
        <f>"1591-2020/27"</f>
        <v>1591-2020/27</v>
      </c>
      <c r="B1522" s="1" t="str">
        <f t="shared" si="265"/>
        <v>11.03.2020</v>
      </c>
      <c r="C1522" s="1" t="str">
        <f t="shared" si="263"/>
        <v>Закрито</v>
      </c>
      <c r="D152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22" s="1" t="str">
        <f>"Земельні питання"</f>
        <v>Земельні питання</v>
      </c>
      <c r="F15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22" s="1" t="str">
        <f>"14"</f>
        <v>14</v>
      </c>
      <c r="H1522" s="1" t="str">
        <f>"Результат"</f>
        <v>Результат</v>
      </c>
      <c r="I1522" s="1" t="str">
        <f t="shared" si="264"/>
        <v>Позитивний</v>
      </c>
      <c r="J1522" s="1" t="str">
        <f t="shared" si="266"/>
        <v>Ні</v>
      </c>
    </row>
    <row r="1523" spans="1:10" ht="90" x14ac:dyDescent="0.25">
      <c r="A1523" s="1" t="str">
        <f>"1584-2020/27"</f>
        <v>1584-2020/27</v>
      </c>
      <c r="B1523" s="1" t="str">
        <f t="shared" si="265"/>
        <v>11.03.2020</v>
      </c>
      <c r="C1523" s="1" t="str">
        <f t="shared" si="263"/>
        <v>Закрито</v>
      </c>
      <c r="D152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23" s="1" t="str">
        <f>"Інші послуги"</f>
        <v>Інші послуги</v>
      </c>
      <c r="F152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23" s="1" t="str">
        <f>"5"</f>
        <v>5</v>
      </c>
      <c r="H1523" s="1" t="str">
        <f>"Результат"</f>
        <v>Результат</v>
      </c>
      <c r="I1523" s="1" t="str">
        <f t="shared" si="264"/>
        <v>Позитивний</v>
      </c>
      <c r="J1523" s="1" t="str">
        <f t="shared" si="266"/>
        <v>Ні</v>
      </c>
    </row>
    <row r="1524" spans="1:10" ht="90" x14ac:dyDescent="0.25">
      <c r="A1524" s="1" t="str">
        <f>"1590-2020/27"</f>
        <v>1590-2020/27</v>
      </c>
      <c r="B1524" s="1" t="str">
        <f t="shared" si="265"/>
        <v>11.03.2020</v>
      </c>
      <c r="C1524" s="1" t="str">
        <f t="shared" si="263"/>
        <v>Закрито</v>
      </c>
      <c r="D152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24" s="1" t="str">
        <f>"Інші послуги"</f>
        <v>Інші послуги</v>
      </c>
      <c r="F152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24" s="1" t="str">
        <f>"5"</f>
        <v>5</v>
      </c>
      <c r="H1524" s="1" t="str">
        <f>"Результат"</f>
        <v>Результат</v>
      </c>
      <c r="I1524" s="1" t="str">
        <f t="shared" si="264"/>
        <v>Позитивний</v>
      </c>
      <c r="J1524" s="1" t="str">
        <f t="shared" si="266"/>
        <v>Ні</v>
      </c>
    </row>
    <row r="1525" spans="1:10" ht="135" x14ac:dyDescent="0.25">
      <c r="A1525" s="1" t="str">
        <f>"1583-2020/27"</f>
        <v>1583-2020/27</v>
      </c>
      <c r="B1525" s="1" t="str">
        <f t="shared" si="265"/>
        <v>11.03.2020</v>
      </c>
      <c r="C1525" s="1" t="str">
        <f>"Результат підготовлено адмін. органом"</f>
        <v>Результат підготовлено адмін. органом</v>
      </c>
      <c r="D15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25" s="1" t="str">
        <f>"Земельні питання"</f>
        <v>Земельні питання</v>
      </c>
      <c r="F15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25" s="1" t="str">
        <f>"3"</f>
        <v>3</v>
      </c>
      <c r="H1525" s="1" t="str">
        <f>"Результат"</f>
        <v>Результат</v>
      </c>
      <c r="I1525" s="1" t="str">
        <f t="shared" si="264"/>
        <v>Позитивний</v>
      </c>
      <c r="J1525" s="1" t="str">
        <f t="shared" si="266"/>
        <v>Ні</v>
      </c>
    </row>
    <row r="1526" spans="1:10" ht="135" x14ac:dyDescent="0.25">
      <c r="A1526" s="1" t="str">
        <f>"1593-2020/27"</f>
        <v>1593-2020/27</v>
      </c>
      <c r="B1526" s="1" t="str">
        <f t="shared" si="265"/>
        <v>11.03.2020</v>
      </c>
      <c r="C1526" s="1" t="str">
        <f>"Закрито"</f>
        <v>Закрито</v>
      </c>
      <c r="D15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26" s="1" t="str">
        <f>"Земельні питання"</f>
        <v>Земельні питання</v>
      </c>
      <c r="F15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26" s="1" t="str">
        <f>"1"</f>
        <v>1</v>
      </c>
      <c r="H1526" s="1" t="str">
        <f>"Результат"</f>
        <v>Результат</v>
      </c>
      <c r="I1526" s="1" t="str">
        <f t="shared" si="264"/>
        <v>Позитивний</v>
      </c>
      <c r="J1526" s="1" t="str">
        <f>"Так"</f>
        <v>Так</v>
      </c>
    </row>
    <row r="1527" spans="1:10" ht="45" x14ac:dyDescent="0.25">
      <c r="A1527" s="1" t="str">
        <f>"1578-2020/27"</f>
        <v>1578-2020/27</v>
      </c>
      <c r="B1527" s="1" t="str">
        <f t="shared" si="265"/>
        <v>11.03.2020</v>
      </c>
      <c r="C1527" s="1" t="str">
        <f>"Закрито"</f>
        <v>Закрито</v>
      </c>
      <c r="D1527" s="1" t="str">
        <f>"Реєстрація місця проживання особи"</f>
        <v>Реєстрація місця проживання особи</v>
      </c>
      <c r="E1527" s="1" t="str">
        <f>"Реєстрація місця проживання"</f>
        <v>Реєстрація місця проживання</v>
      </c>
      <c r="F1527" s="1" t="str">
        <f>"Відділ реєстрації Новокаховської міської ради"</f>
        <v>Відділ реєстрації Новокаховської міської ради</v>
      </c>
      <c r="G1527" s="1" t="str">
        <f>"1"</f>
        <v>1</v>
      </c>
      <c r="H1527" s="1" t="str">
        <f>"Результат"</f>
        <v>Результат</v>
      </c>
      <c r="I1527" s="1" t="str">
        <f t="shared" si="264"/>
        <v>Позитивний</v>
      </c>
      <c r="J1527" s="1" t="str">
        <f>"Так"</f>
        <v>Так</v>
      </c>
    </row>
    <row r="1528" spans="1:10" ht="105" x14ac:dyDescent="0.25">
      <c r="A1528" s="1" t="str">
        <f>"1582-2020/27"</f>
        <v>1582-2020/27</v>
      </c>
      <c r="B1528" s="1" t="str">
        <f t="shared" si="265"/>
        <v>11.03.2020</v>
      </c>
      <c r="C1528" s="1" t="str">
        <f>"Закрито"</f>
        <v>Закрито</v>
      </c>
      <c r="D15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28" s="1" t="str">
        <f>"Земельні питання"</f>
        <v>Земельні питання</v>
      </c>
      <c r="F152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528" s="1" t="str">
        <f>"1"</f>
        <v>1</v>
      </c>
      <c r="H1528" s="1" t="str">
        <f>"Результат"</f>
        <v>Результат</v>
      </c>
      <c r="I1528" s="1" t="str">
        <f t="shared" si="264"/>
        <v>Позитивний</v>
      </c>
      <c r="J1528" s="1" t="str">
        <f>"Так"</f>
        <v>Так</v>
      </c>
    </row>
    <row r="1529" spans="1:10" ht="90" x14ac:dyDescent="0.25">
      <c r="A1529" s="1" t="str">
        <f>"1575-2020/27"</f>
        <v>1575-2020/27</v>
      </c>
      <c r="B1529" s="1" t="str">
        <f t="shared" si="265"/>
        <v>11.03.2020</v>
      </c>
      <c r="C1529" s="1" t="str">
        <f>"Закрито"</f>
        <v>Закрито</v>
      </c>
      <c r="D152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29" s="1" t="str">
        <f>"Інші послуги"</f>
        <v>Інші послуги</v>
      </c>
      <c r="F152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29" s="1" t="str">
        <f>"5"</f>
        <v>5</v>
      </c>
      <c r="H1529" s="1" t="str">
        <f>"Результат"</f>
        <v>Результат</v>
      </c>
      <c r="I1529" s="1" t="str">
        <f t="shared" si="264"/>
        <v>Позитивний</v>
      </c>
      <c r="J1529" s="1" t="str">
        <f>"Ні"</f>
        <v>Ні</v>
      </c>
    </row>
    <row r="1530" spans="1:10" ht="225" x14ac:dyDescent="0.25">
      <c r="A1530" s="1" t="str">
        <f>"1588-2020/27"</f>
        <v>1588-2020/27</v>
      </c>
      <c r="B1530" s="1" t="str">
        <f t="shared" si="265"/>
        <v>11.03.2020</v>
      </c>
      <c r="C1530" s="1" t="str">
        <f>"Закрито"</f>
        <v>Закрито</v>
      </c>
      <c r="D1530" s="1" t="s">
        <v>0</v>
      </c>
      <c r="E1530" s="1" t="str">
        <f>"Будівництво"</f>
        <v>Будівництво</v>
      </c>
      <c r="F153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530" s="1" t="str">
        <f>"10"</f>
        <v>10</v>
      </c>
      <c r="H1530" s="1" t="str">
        <f>"Результат"</f>
        <v>Результат</v>
      </c>
      <c r="I1530" s="1" t="str">
        <f t="shared" si="264"/>
        <v>Позитивний</v>
      </c>
      <c r="J1530" s="1" t="str">
        <f>"Ні"</f>
        <v>Ні</v>
      </c>
    </row>
    <row r="1531" spans="1:10" ht="135" x14ac:dyDescent="0.25">
      <c r="A1531" s="1" t="str">
        <f>"1580-2020/27"</f>
        <v>1580-2020/27</v>
      </c>
      <c r="B1531" s="1" t="str">
        <f t="shared" si="265"/>
        <v>11.03.2020</v>
      </c>
      <c r="C1531" s="1" t="str">
        <f t="shared" ref="C1531:C1544" si="267">"Закрито"</f>
        <v>Закрито</v>
      </c>
      <c r="D153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531" s="1" t="str">
        <f>"Земельні питання"</f>
        <v>Земельні питання</v>
      </c>
      <c r="F15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31" s="1" t="str">
        <f>"14"</f>
        <v>14</v>
      </c>
      <c r="H1531" s="1" t="str">
        <f>"Результат"</f>
        <v>Результат</v>
      </c>
      <c r="I1531" s="1" t="str">
        <f t="shared" si="264"/>
        <v>Позитивний</v>
      </c>
      <c r="J1531" s="1" t="str">
        <f>"Ні"</f>
        <v>Ні</v>
      </c>
    </row>
    <row r="1532" spans="1:10" ht="45" x14ac:dyDescent="0.25">
      <c r="A1532" s="1" t="str">
        <f>"1587-2020/27"</f>
        <v>1587-2020/27</v>
      </c>
      <c r="B1532" s="1" t="str">
        <f t="shared" si="265"/>
        <v>11.03.2020</v>
      </c>
      <c r="C1532" s="1" t="str">
        <f t="shared" si="267"/>
        <v>Закрито</v>
      </c>
      <c r="D1532" s="1" t="str">
        <f>"Реєстрація місця проживання особи"</f>
        <v>Реєстрація місця проживання особи</v>
      </c>
      <c r="E1532" s="1" t="str">
        <f>"Реєстрація місця проживання"</f>
        <v>Реєстрація місця проживання</v>
      </c>
      <c r="F1532" s="1" t="str">
        <f>"Відділ реєстрації Новокаховської міської ради"</f>
        <v>Відділ реєстрації Новокаховської міської ради</v>
      </c>
      <c r="G1532" s="1" t="str">
        <f t="shared" ref="G1532:G1543" si="268">"1"</f>
        <v>1</v>
      </c>
      <c r="H1532" s="1" t="str">
        <f>"Результат"</f>
        <v>Результат</v>
      </c>
      <c r="I1532" s="1" t="str">
        <f t="shared" si="264"/>
        <v>Позитивний</v>
      </c>
      <c r="J1532" s="1" t="str">
        <f t="shared" ref="J1532:J1543" si="269">"Так"</f>
        <v>Так</v>
      </c>
    </row>
    <row r="1533" spans="1:10" ht="45" x14ac:dyDescent="0.25">
      <c r="A1533" s="1" t="str">
        <f>"1576-2020/27"</f>
        <v>1576-2020/27</v>
      </c>
      <c r="B1533" s="1" t="str">
        <f t="shared" si="265"/>
        <v>11.03.2020</v>
      </c>
      <c r="C1533" s="1" t="str">
        <f t="shared" si="267"/>
        <v>Закрито</v>
      </c>
      <c r="D1533" s="1" t="str">
        <f>"Реєстрація місця проживання особи"</f>
        <v>Реєстрація місця проживання особи</v>
      </c>
      <c r="E1533" s="1" t="str">
        <f>"Реєстрація місця проживання"</f>
        <v>Реєстрація місця проживання</v>
      </c>
      <c r="F1533" s="1" t="str">
        <f>"Відділ реєстрації Новокаховської міської ради"</f>
        <v>Відділ реєстрації Новокаховської міської ради</v>
      </c>
      <c r="G1533" s="1" t="str">
        <f t="shared" si="268"/>
        <v>1</v>
      </c>
      <c r="H1533" s="1" t="str">
        <f>"Результат"</f>
        <v>Результат</v>
      </c>
      <c r="I1533" s="1" t="str">
        <f t="shared" si="264"/>
        <v>Позитивний</v>
      </c>
      <c r="J1533" s="1" t="str">
        <f t="shared" si="269"/>
        <v>Так</v>
      </c>
    </row>
    <row r="1534" spans="1:10" ht="45" x14ac:dyDescent="0.25">
      <c r="A1534" s="1" t="str">
        <f>"1569-2020/27"</f>
        <v>1569-2020/27</v>
      </c>
      <c r="B1534" s="1" t="str">
        <f t="shared" si="265"/>
        <v>11.03.2020</v>
      </c>
      <c r="C1534" s="1" t="str">
        <f t="shared" si="267"/>
        <v>Закрито</v>
      </c>
      <c r="D1534" s="1" t="str">
        <f>"Реєстрація місця проживання особи"</f>
        <v>Реєстрація місця проживання особи</v>
      </c>
      <c r="E1534" s="1" t="str">
        <f>"Реєстрація місця проживання"</f>
        <v>Реєстрація місця проживання</v>
      </c>
      <c r="F1534" s="1" t="str">
        <f>"Відділ реєстрації Новокаховської міської ради"</f>
        <v>Відділ реєстрації Новокаховської міської ради</v>
      </c>
      <c r="G1534" s="1" t="str">
        <f t="shared" si="268"/>
        <v>1</v>
      </c>
      <c r="H1534" s="1" t="str">
        <f>"Результат"</f>
        <v>Результат</v>
      </c>
      <c r="I1534" s="1" t="str">
        <f t="shared" si="264"/>
        <v>Позитивний</v>
      </c>
      <c r="J1534" s="1" t="str">
        <f t="shared" si="269"/>
        <v>Так</v>
      </c>
    </row>
    <row r="1535" spans="1:10" ht="135" x14ac:dyDescent="0.25">
      <c r="A1535" s="1" t="str">
        <f>"1594-2020/27"</f>
        <v>1594-2020/27</v>
      </c>
      <c r="B1535" s="1" t="str">
        <f t="shared" si="265"/>
        <v>11.03.2020</v>
      </c>
      <c r="C1535" s="1" t="str">
        <f t="shared" si="267"/>
        <v>Закрито</v>
      </c>
      <c r="D153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35" s="1" t="str">
        <f>"Земельні питання"</f>
        <v>Земельні питання</v>
      </c>
      <c r="F15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35" s="1" t="str">
        <f t="shared" si="268"/>
        <v>1</v>
      </c>
      <c r="H1535" s="1" t="str">
        <f>"Результат"</f>
        <v>Результат</v>
      </c>
      <c r="I1535" s="1" t="str">
        <f t="shared" si="264"/>
        <v>Позитивний</v>
      </c>
      <c r="J1535" s="1" t="str">
        <f t="shared" si="269"/>
        <v>Так</v>
      </c>
    </row>
    <row r="1536" spans="1:10" ht="45" x14ac:dyDescent="0.25">
      <c r="A1536" s="1" t="str">
        <f>"1571-2020/27"</f>
        <v>1571-2020/27</v>
      </c>
      <c r="B1536" s="1" t="str">
        <f t="shared" si="265"/>
        <v>11.03.2020</v>
      </c>
      <c r="C1536" s="1" t="str">
        <f t="shared" si="267"/>
        <v>Закрито</v>
      </c>
      <c r="D1536" s="1" t="str">
        <f>"Зняття з реєстрації місця проживання"</f>
        <v>Зняття з реєстрації місця проживання</v>
      </c>
      <c r="E1536" s="1" t="str">
        <f t="shared" ref="E1536:E1543" si="270">"Реєстрація місця проживання"</f>
        <v>Реєстрація місця проживання</v>
      </c>
      <c r="F1536" s="1" t="str">
        <f t="shared" ref="F1536:F1543" si="271">"Відділ реєстрації Новокаховської міської ради"</f>
        <v>Відділ реєстрації Новокаховської міської ради</v>
      </c>
      <c r="G1536" s="1" t="str">
        <f t="shared" si="268"/>
        <v>1</v>
      </c>
      <c r="H1536" s="1" t="str">
        <f>"Результат"</f>
        <v>Результат</v>
      </c>
      <c r="I1536" s="1" t="str">
        <f t="shared" si="264"/>
        <v>Позитивний</v>
      </c>
      <c r="J1536" s="1" t="str">
        <f t="shared" si="269"/>
        <v>Так</v>
      </c>
    </row>
    <row r="1537" spans="1:10" ht="45" x14ac:dyDescent="0.25">
      <c r="A1537" s="1" t="str">
        <f>"1572-2020/27"</f>
        <v>1572-2020/27</v>
      </c>
      <c r="B1537" s="1" t="str">
        <f t="shared" si="265"/>
        <v>11.03.2020</v>
      </c>
      <c r="C1537" s="1" t="str">
        <f t="shared" si="267"/>
        <v>Закрито</v>
      </c>
      <c r="D1537" s="1" t="str">
        <f>"Реєстрація місця проживання особи"</f>
        <v>Реєстрація місця проживання особи</v>
      </c>
      <c r="E1537" s="1" t="str">
        <f t="shared" si="270"/>
        <v>Реєстрація місця проживання</v>
      </c>
      <c r="F1537" s="1" t="str">
        <f t="shared" si="271"/>
        <v>Відділ реєстрації Новокаховської міської ради</v>
      </c>
      <c r="G1537" s="1" t="str">
        <f t="shared" si="268"/>
        <v>1</v>
      </c>
      <c r="H1537" s="1" t="str">
        <f>"Результат"</f>
        <v>Результат</v>
      </c>
      <c r="I1537" s="1" t="str">
        <f t="shared" si="264"/>
        <v>Позитивний</v>
      </c>
      <c r="J1537" s="1" t="str">
        <f t="shared" si="269"/>
        <v>Так</v>
      </c>
    </row>
    <row r="1538" spans="1:10" ht="45" x14ac:dyDescent="0.25">
      <c r="A1538" s="1" t="str">
        <f>"1589-2020/27"</f>
        <v>1589-2020/27</v>
      </c>
      <c r="B1538" s="1" t="str">
        <f t="shared" si="265"/>
        <v>11.03.2020</v>
      </c>
      <c r="C1538" s="1" t="str">
        <f t="shared" si="267"/>
        <v>Закрито</v>
      </c>
      <c r="D1538" s="1" t="str">
        <f>"Реєстрація місця проживання особи"</f>
        <v>Реєстрація місця проживання особи</v>
      </c>
      <c r="E1538" s="1" t="str">
        <f t="shared" si="270"/>
        <v>Реєстрація місця проживання</v>
      </c>
      <c r="F1538" s="1" t="str">
        <f t="shared" si="271"/>
        <v>Відділ реєстрації Новокаховської міської ради</v>
      </c>
      <c r="G1538" s="1" t="str">
        <f t="shared" si="268"/>
        <v>1</v>
      </c>
      <c r="H1538" s="1" t="str">
        <f>"Результат"</f>
        <v>Результат</v>
      </c>
      <c r="I1538" s="1" t="str">
        <f>"Мотивована відмова"</f>
        <v>Мотивована відмова</v>
      </c>
      <c r="J1538" s="1" t="str">
        <f t="shared" si="269"/>
        <v>Так</v>
      </c>
    </row>
    <row r="1539" spans="1:10" ht="45" x14ac:dyDescent="0.25">
      <c r="A1539" s="1" t="str">
        <f>"1586-2020/27"</f>
        <v>1586-2020/27</v>
      </c>
      <c r="B1539" s="1" t="str">
        <f t="shared" si="265"/>
        <v>11.03.2020</v>
      </c>
      <c r="C1539" s="1" t="str">
        <f t="shared" si="267"/>
        <v>Закрито</v>
      </c>
      <c r="D1539" s="1" t="str">
        <f>"Зняття з реєстрації місця проживання"</f>
        <v>Зняття з реєстрації місця проживання</v>
      </c>
      <c r="E1539" s="1" t="str">
        <f t="shared" si="270"/>
        <v>Реєстрація місця проживання</v>
      </c>
      <c r="F1539" s="1" t="str">
        <f t="shared" si="271"/>
        <v>Відділ реєстрації Новокаховської міської ради</v>
      </c>
      <c r="G1539" s="1" t="str">
        <f t="shared" si="268"/>
        <v>1</v>
      </c>
      <c r="H1539" s="1" t="str">
        <f>"Результат"</f>
        <v>Результат</v>
      </c>
      <c r="I1539" s="1" t="str">
        <f t="shared" ref="I1539:I1577" si="272">"Позитивний"</f>
        <v>Позитивний</v>
      </c>
      <c r="J1539" s="1" t="str">
        <f t="shared" si="269"/>
        <v>Так</v>
      </c>
    </row>
    <row r="1540" spans="1:10" ht="45" x14ac:dyDescent="0.25">
      <c r="A1540" s="1" t="str">
        <f>"1607-2020/27"</f>
        <v>1607-2020/27</v>
      </c>
      <c r="B1540" s="1" t="str">
        <f t="shared" ref="B1540:B1577" si="273">"12.03.2020"</f>
        <v>12.03.2020</v>
      </c>
      <c r="C1540" s="1" t="str">
        <f t="shared" si="267"/>
        <v>Закрито</v>
      </c>
      <c r="D1540" s="1" t="str">
        <f>"Реєстрація місця проживання особи"</f>
        <v>Реєстрація місця проживання особи</v>
      </c>
      <c r="E1540" s="1" t="str">
        <f t="shared" si="270"/>
        <v>Реєстрація місця проживання</v>
      </c>
      <c r="F1540" s="1" t="str">
        <f t="shared" si="271"/>
        <v>Відділ реєстрації Новокаховської міської ради</v>
      </c>
      <c r="G1540" s="1" t="str">
        <f t="shared" si="268"/>
        <v>1</v>
      </c>
      <c r="H1540" s="1" t="str">
        <f>"Результат"</f>
        <v>Результат</v>
      </c>
      <c r="I1540" s="1" t="str">
        <f t="shared" si="272"/>
        <v>Позитивний</v>
      </c>
      <c r="J1540" s="1" t="str">
        <f t="shared" si="269"/>
        <v>Так</v>
      </c>
    </row>
    <row r="1541" spans="1:10" ht="45" x14ac:dyDescent="0.25">
      <c r="A1541" s="1" t="str">
        <f>"1600-2020/27"</f>
        <v>1600-2020/27</v>
      </c>
      <c r="B1541" s="1" t="str">
        <f t="shared" si="273"/>
        <v>12.03.2020</v>
      </c>
      <c r="C1541" s="1" t="str">
        <f t="shared" si="267"/>
        <v>Закрито</v>
      </c>
      <c r="D1541" s="1" t="str">
        <f>"Реєстрація місця проживання особи"</f>
        <v>Реєстрація місця проживання особи</v>
      </c>
      <c r="E1541" s="1" t="str">
        <f t="shared" si="270"/>
        <v>Реєстрація місця проживання</v>
      </c>
      <c r="F1541" s="1" t="str">
        <f t="shared" si="271"/>
        <v>Відділ реєстрації Новокаховської міської ради</v>
      </c>
      <c r="G1541" s="1" t="str">
        <f t="shared" si="268"/>
        <v>1</v>
      </c>
      <c r="H1541" s="1" t="str">
        <f>"Результат"</f>
        <v>Результат</v>
      </c>
      <c r="I1541" s="1" t="str">
        <f t="shared" si="272"/>
        <v>Позитивний</v>
      </c>
      <c r="J1541" s="1" t="str">
        <f t="shared" si="269"/>
        <v>Так</v>
      </c>
    </row>
    <row r="1542" spans="1:10" ht="45" x14ac:dyDescent="0.25">
      <c r="A1542" s="1" t="str">
        <f>"1628-2020/27"</f>
        <v>1628-2020/27</v>
      </c>
      <c r="B1542" s="1" t="str">
        <f t="shared" si="273"/>
        <v>12.03.2020</v>
      </c>
      <c r="C1542" s="1" t="str">
        <f t="shared" si="267"/>
        <v>Закрито</v>
      </c>
      <c r="D1542" s="1" t="str">
        <f>"Реєстрація місця проживання особи"</f>
        <v>Реєстрація місця проживання особи</v>
      </c>
      <c r="E1542" s="1" t="str">
        <f t="shared" si="270"/>
        <v>Реєстрація місця проживання</v>
      </c>
      <c r="F1542" s="1" t="str">
        <f t="shared" si="271"/>
        <v>Відділ реєстрації Новокаховської міської ради</v>
      </c>
      <c r="G1542" s="1" t="str">
        <f t="shared" si="268"/>
        <v>1</v>
      </c>
      <c r="H1542" s="1" t="str">
        <f>"Результат"</f>
        <v>Результат</v>
      </c>
      <c r="I1542" s="1" t="str">
        <f t="shared" si="272"/>
        <v>Позитивний</v>
      </c>
      <c r="J1542" s="1" t="str">
        <f t="shared" si="269"/>
        <v>Так</v>
      </c>
    </row>
    <row r="1543" spans="1:10" ht="45" x14ac:dyDescent="0.25">
      <c r="A1543" s="1" t="str">
        <f>"1619-2020/27"</f>
        <v>1619-2020/27</v>
      </c>
      <c r="B1543" s="1" t="str">
        <f t="shared" si="273"/>
        <v>12.03.2020</v>
      </c>
      <c r="C1543" s="1" t="str">
        <f t="shared" si="267"/>
        <v>Закрито</v>
      </c>
      <c r="D1543" s="1" t="str">
        <f>"Реєстрація місця проживання особи"</f>
        <v>Реєстрація місця проживання особи</v>
      </c>
      <c r="E1543" s="1" t="str">
        <f t="shared" si="270"/>
        <v>Реєстрація місця проживання</v>
      </c>
      <c r="F1543" s="1" t="str">
        <f t="shared" si="271"/>
        <v>Відділ реєстрації Новокаховської міської ради</v>
      </c>
      <c r="G1543" s="1" t="str">
        <f t="shared" si="268"/>
        <v>1</v>
      </c>
      <c r="H1543" s="1" t="str">
        <f>"Результат"</f>
        <v>Результат</v>
      </c>
      <c r="I1543" s="1" t="str">
        <f t="shared" si="272"/>
        <v>Позитивний</v>
      </c>
      <c r="J1543" s="1" t="str">
        <f t="shared" si="269"/>
        <v>Так</v>
      </c>
    </row>
    <row r="1544" spans="1:10" ht="120" x14ac:dyDescent="0.25">
      <c r="A1544" s="1" t="str">
        <f>"1604-2020/27"</f>
        <v>1604-2020/27</v>
      </c>
      <c r="B1544" s="1" t="str">
        <f t="shared" si="273"/>
        <v>12.03.2020</v>
      </c>
      <c r="C1544" s="1" t="str">
        <f t="shared" si="267"/>
        <v>Закрито</v>
      </c>
      <c r="D1544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544" s="1" t="str">
        <f>"Будівництво"</f>
        <v>Будівництво</v>
      </c>
      <c r="F154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544" s="1" t="str">
        <f>"10"</f>
        <v>10</v>
      </c>
      <c r="H1544" s="1" t="str">
        <f>"Результат"</f>
        <v>Результат</v>
      </c>
      <c r="I1544" s="1" t="str">
        <f t="shared" si="272"/>
        <v>Позитивний</v>
      </c>
      <c r="J1544" s="1" t="str">
        <f>"Ні"</f>
        <v>Ні</v>
      </c>
    </row>
    <row r="1545" spans="1:10" ht="135" x14ac:dyDescent="0.25">
      <c r="A1545" s="1" t="str">
        <f>"1632-2020/27"</f>
        <v>1632-2020/27</v>
      </c>
      <c r="B1545" s="1" t="str">
        <f t="shared" si="273"/>
        <v>12.03.2020</v>
      </c>
      <c r="C1545" s="1" t="str">
        <f t="shared" ref="C1545:C1590" si="274">"Закрито"</f>
        <v>Закрито</v>
      </c>
      <c r="D154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45" s="1" t="str">
        <f>"Земельні питання"</f>
        <v>Земельні питання</v>
      </c>
      <c r="F15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45" s="1" t="str">
        <f>"1"</f>
        <v>1</v>
      </c>
      <c r="H1545" s="1" t="str">
        <f>"Результат"</f>
        <v>Результат</v>
      </c>
      <c r="I1545" s="1" t="str">
        <f t="shared" si="272"/>
        <v>Позитивний</v>
      </c>
      <c r="J1545" s="1" t="str">
        <f>"Так"</f>
        <v>Так</v>
      </c>
    </row>
    <row r="1546" spans="1:10" ht="135" x14ac:dyDescent="0.25">
      <c r="A1546" s="1" t="str">
        <f>"1598-2020/27"</f>
        <v>1598-2020/27</v>
      </c>
      <c r="B1546" s="1" t="str">
        <f t="shared" si="273"/>
        <v>12.03.2020</v>
      </c>
      <c r="C1546" s="1" t="str">
        <f t="shared" si="274"/>
        <v>Закрито</v>
      </c>
      <c r="D154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46" s="1" t="str">
        <f>"Земельні питання"</f>
        <v>Земельні питання</v>
      </c>
      <c r="F15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46" s="1" t="str">
        <f>"14"</f>
        <v>14</v>
      </c>
      <c r="H1546" s="1" t="str">
        <f>"Результат"</f>
        <v>Результат</v>
      </c>
      <c r="I1546" s="1" t="str">
        <f t="shared" si="272"/>
        <v>Позитивний</v>
      </c>
      <c r="J1546" s="1" t="str">
        <f t="shared" ref="J1546:J1551" si="275">"Ні"</f>
        <v>Ні</v>
      </c>
    </row>
    <row r="1547" spans="1:10" ht="90" x14ac:dyDescent="0.25">
      <c r="A1547" s="1" t="str">
        <f>"1626-2020/27"</f>
        <v>1626-2020/27</v>
      </c>
      <c r="B1547" s="1" t="str">
        <f t="shared" si="273"/>
        <v>12.03.2020</v>
      </c>
      <c r="C1547" s="1" t="str">
        <f t="shared" si="274"/>
        <v>Закрито</v>
      </c>
      <c r="D154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47" s="1" t="str">
        <f>"Інші послуги"</f>
        <v>Інші послуги</v>
      </c>
      <c r="F154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47" s="1" t="str">
        <f>"5"</f>
        <v>5</v>
      </c>
      <c r="H1547" s="1" t="str">
        <f>"Результат"</f>
        <v>Результат</v>
      </c>
      <c r="I1547" s="1" t="str">
        <f t="shared" si="272"/>
        <v>Позитивний</v>
      </c>
      <c r="J1547" s="1" t="str">
        <f t="shared" si="275"/>
        <v>Ні</v>
      </c>
    </row>
    <row r="1548" spans="1:10" ht="90" x14ac:dyDescent="0.25">
      <c r="A1548" s="1" t="str">
        <f>"1613-2020/27"</f>
        <v>1613-2020/27</v>
      </c>
      <c r="B1548" s="1" t="str">
        <f t="shared" si="273"/>
        <v>12.03.2020</v>
      </c>
      <c r="C1548" s="1" t="str">
        <f t="shared" si="274"/>
        <v>Закрито</v>
      </c>
      <c r="D154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48" s="1" t="str">
        <f>"Інші послуги"</f>
        <v>Інші послуги</v>
      </c>
      <c r="F154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48" s="1" t="str">
        <f>"5"</f>
        <v>5</v>
      </c>
      <c r="H1548" s="1" t="str">
        <f>"Результат"</f>
        <v>Результат</v>
      </c>
      <c r="I1548" s="1" t="str">
        <f t="shared" si="272"/>
        <v>Позитивний</v>
      </c>
      <c r="J1548" s="1" t="str">
        <f t="shared" si="275"/>
        <v>Ні</v>
      </c>
    </row>
    <row r="1549" spans="1:10" ht="135" x14ac:dyDescent="0.25">
      <c r="A1549" s="1" t="str">
        <f>"1597-2020/27"</f>
        <v>1597-2020/27</v>
      </c>
      <c r="B1549" s="1" t="str">
        <f t="shared" si="273"/>
        <v>12.03.2020</v>
      </c>
      <c r="C1549" s="1" t="str">
        <f t="shared" si="274"/>
        <v>Закрито</v>
      </c>
      <c r="D154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49" s="1" t="str">
        <f>"Земельні питання"</f>
        <v>Земельні питання</v>
      </c>
      <c r="F15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49" s="1" t="str">
        <f>"14"</f>
        <v>14</v>
      </c>
      <c r="H1549" s="1" t="str">
        <f>"Результат"</f>
        <v>Результат</v>
      </c>
      <c r="I1549" s="1" t="str">
        <f t="shared" si="272"/>
        <v>Позитивний</v>
      </c>
      <c r="J1549" s="1" t="str">
        <f t="shared" si="275"/>
        <v>Ні</v>
      </c>
    </row>
    <row r="1550" spans="1:10" ht="90" x14ac:dyDescent="0.25">
      <c r="A1550" s="1" t="str">
        <f>"1603-2020/27"</f>
        <v>1603-2020/27</v>
      </c>
      <c r="B1550" s="1" t="str">
        <f t="shared" si="273"/>
        <v>12.03.2020</v>
      </c>
      <c r="C1550" s="1" t="str">
        <f t="shared" si="274"/>
        <v>Закрито</v>
      </c>
      <c r="D155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50" s="1" t="str">
        <f>"Інші послуги"</f>
        <v>Інші послуги</v>
      </c>
      <c r="F155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50" s="1" t="str">
        <f>"5"</f>
        <v>5</v>
      </c>
      <c r="H1550" s="1" t="str">
        <f>"Результат"</f>
        <v>Результат</v>
      </c>
      <c r="I1550" s="1" t="str">
        <f t="shared" si="272"/>
        <v>Позитивний</v>
      </c>
      <c r="J1550" s="1" t="str">
        <f t="shared" si="275"/>
        <v>Ні</v>
      </c>
    </row>
    <row r="1551" spans="1:10" ht="135" x14ac:dyDescent="0.25">
      <c r="A1551" s="1" t="str">
        <f>"1599-2020/27"</f>
        <v>1599-2020/27</v>
      </c>
      <c r="B1551" s="1" t="str">
        <f t="shared" si="273"/>
        <v>12.03.2020</v>
      </c>
      <c r="C1551" s="1" t="str">
        <f t="shared" si="274"/>
        <v>Закрито</v>
      </c>
      <c r="D1551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51" s="1" t="str">
        <f>"Земельні питання"</f>
        <v>Земельні питання</v>
      </c>
      <c r="F15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51" s="1" t="str">
        <f>"14"</f>
        <v>14</v>
      </c>
      <c r="H1551" s="1" t="str">
        <f>"Результат"</f>
        <v>Результат</v>
      </c>
      <c r="I1551" s="1" t="str">
        <f t="shared" si="272"/>
        <v>Позитивний</v>
      </c>
      <c r="J1551" s="1" t="str">
        <f t="shared" si="275"/>
        <v>Ні</v>
      </c>
    </row>
    <row r="1552" spans="1:10" ht="45" x14ac:dyDescent="0.25">
      <c r="A1552" s="1" t="str">
        <f>"1614-2020/27"</f>
        <v>1614-2020/27</v>
      </c>
      <c r="B1552" s="1" t="str">
        <f t="shared" si="273"/>
        <v>12.03.2020</v>
      </c>
      <c r="C1552" s="1" t="str">
        <f t="shared" si="274"/>
        <v>Закрито</v>
      </c>
      <c r="D1552" s="1" t="str">
        <f>"Зняття з реєстрації місця проживання"</f>
        <v>Зняття з реєстрації місця проживання</v>
      </c>
      <c r="E1552" s="1" t="str">
        <f>"Реєстрація місця проживання"</f>
        <v>Реєстрація місця проживання</v>
      </c>
      <c r="F1552" s="1" t="str">
        <f>"Відділ реєстрації Новокаховської міської ради"</f>
        <v>Відділ реєстрації Новокаховської міської ради</v>
      </c>
      <c r="G1552" s="1" t="str">
        <f>"1"</f>
        <v>1</v>
      </c>
      <c r="H1552" s="1" t="str">
        <f>"Результат"</f>
        <v>Результат</v>
      </c>
      <c r="I1552" s="1" t="str">
        <f t="shared" si="272"/>
        <v>Позитивний</v>
      </c>
      <c r="J1552" s="1" t="str">
        <f>"Так"</f>
        <v>Так</v>
      </c>
    </row>
    <row r="1553" spans="1:10" ht="90" x14ac:dyDescent="0.25">
      <c r="A1553" s="1" t="str">
        <f>"1611-2020/27"</f>
        <v>1611-2020/27</v>
      </c>
      <c r="B1553" s="1" t="str">
        <f t="shared" si="273"/>
        <v>12.03.2020</v>
      </c>
      <c r="C1553" s="1" t="str">
        <f t="shared" si="274"/>
        <v>Закрито</v>
      </c>
      <c r="D155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53" s="1" t="str">
        <f>"Інші послуги"</f>
        <v>Інші послуги</v>
      </c>
      <c r="F155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53" s="1" t="str">
        <f>"5"</f>
        <v>5</v>
      </c>
      <c r="H1553" s="1" t="str">
        <f>"Результат"</f>
        <v>Результат</v>
      </c>
      <c r="I1553" s="1" t="str">
        <f t="shared" si="272"/>
        <v>Позитивний</v>
      </c>
      <c r="J1553" s="1" t="str">
        <f>"Ні"</f>
        <v>Ні</v>
      </c>
    </row>
    <row r="1554" spans="1:10" ht="135" x14ac:dyDescent="0.25">
      <c r="A1554" s="1" t="str">
        <f>"1601-2020/27"</f>
        <v>1601-2020/27</v>
      </c>
      <c r="B1554" s="1" t="str">
        <f t="shared" si="273"/>
        <v>12.03.2020</v>
      </c>
      <c r="C1554" s="1" t="str">
        <f t="shared" si="274"/>
        <v>Закрито</v>
      </c>
      <c r="D155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54" s="1" t="str">
        <f>"Земельні питання"</f>
        <v>Земельні питання</v>
      </c>
      <c r="F15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54" s="1" t="str">
        <f>"14"</f>
        <v>14</v>
      </c>
      <c r="H1554" s="1" t="str">
        <f>"Результат"</f>
        <v>Результат</v>
      </c>
      <c r="I1554" s="1" t="str">
        <f t="shared" si="272"/>
        <v>Позитивний</v>
      </c>
      <c r="J1554" s="1" t="str">
        <f>"Ні"</f>
        <v>Ні</v>
      </c>
    </row>
    <row r="1555" spans="1:10" ht="135" x14ac:dyDescent="0.25">
      <c r="A1555" s="1" t="str">
        <f>"1616-2020/27"</f>
        <v>1616-2020/27</v>
      </c>
      <c r="B1555" s="1" t="str">
        <f t="shared" si="273"/>
        <v>12.03.2020</v>
      </c>
      <c r="C1555" s="1" t="str">
        <f t="shared" si="274"/>
        <v>Закрито</v>
      </c>
      <c r="D155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55" s="1" t="str">
        <f>"Земельні питання"</f>
        <v>Земельні питання</v>
      </c>
      <c r="F15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55" s="1" t="str">
        <f>"3"</f>
        <v>3</v>
      </c>
      <c r="H1555" s="1" t="str">
        <f>"Результат"</f>
        <v>Результат</v>
      </c>
      <c r="I1555" s="1" t="str">
        <f t="shared" si="272"/>
        <v>Позитивний</v>
      </c>
      <c r="J1555" s="1" t="str">
        <f>"Ні"</f>
        <v>Ні</v>
      </c>
    </row>
    <row r="1556" spans="1:10" ht="45" x14ac:dyDescent="0.25">
      <c r="A1556" s="1" t="str">
        <f>"1624-2020/27"</f>
        <v>1624-2020/27</v>
      </c>
      <c r="B1556" s="1" t="str">
        <f t="shared" si="273"/>
        <v>12.03.2020</v>
      </c>
      <c r="C1556" s="1" t="str">
        <f t="shared" si="274"/>
        <v>Закрито</v>
      </c>
      <c r="D1556" s="1" t="str">
        <f>"Реєстрація місця проживання особи"</f>
        <v>Реєстрація місця проживання особи</v>
      </c>
      <c r="E1556" s="1" t="str">
        <f>"Реєстрація місця проживання"</f>
        <v>Реєстрація місця проживання</v>
      </c>
      <c r="F1556" s="1" t="str">
        <f>"Відділ реєстрації Новокаховської міської ради"</f>
        <v>Відділ реєстрації Новокаховської міської ради</v>
      </c>
      <c r="G1556" s="1" t="str">
        <f>"1"</f>
        <v>1</v>
      </c>
      <c r="H1556" s="1" t="str">
        <f>"Результат"</f>
        <v>Результат</v>
      </c>
      <c r="I1556" s="1" t="str">
        <f t="shared" si="272"/>
        <v>Позитивний</v>
      </c>
      <c r="J1556" s="1" t="str">
        <f>"Так"</f>
        <v>Так</v>
      </c>
    </row>
    <row r="1557" spans="1:10" ht="135" x14ac:dyDescent="0.25">
      <c r="A1557" s="1" t="str">
        <f>"1629-2020/27"</f>
        <v>1629-2020/27</v>
      </c>
      <c r="B1557" s="1" t="str">
        <f t="shared" si="273"/>
        <v>12.03.2020</v>
      </c>
      <c r="C1557" s="1" t="str">
        <f t="shared" si="274"/>
        <v>Закрито</v>
      </c>
      <c r="D155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557" s="1" t="str">
        <f>"Земельні питання"</f>
        <v>Земельні питання</v>
      </c>
      <c r="F15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57" s="1" t="str">
        <f>"14"</f>
        <v>14</v>
      </c>
      <c r="H1557" s="1" t="str">
        <f>"Результат"</f>
        <v>Результат</v>
      </c>
      <c r="I1557" s="1" t="str">
        <f t="shared" si="272"/>
        <v>Позитивний</v>
      </c>
      <c r="J1557" s="1" t="str">
        <f>"Ні"</f>
        <v>Ні</v>
      </c>
    </row>
    <row r="1558" spans="1:10" ht="135" x14ac:dyDescent="0.25">
      <c r="A1558" s="1" t="str">
        <f>"1602-2020/27"</f>
        <v>1602-2020/27</v>
      </c>
      <c r="B1558" s="1" t="str">
        <f t="shared" si="273"/>
        <v>12.03.2020</v>
      </c>
      <c r="C1558" s="1" t="str">
        <f t="shared" si="274"/>
        <v>Закрито</v>
      </c>
      <c r="D155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58" s="1" t="str">
        <f>"Земельні питання"</f>
        <v>Земельні питання</v>
      </c>
      <c r="F15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58" s="1" t="str">
        <f>"14"</f>
        <v>14</v>
      </c>
      <c r="H1558" s="1" t="str">
        <f>"Результат"</f>
        <v>Результат</v>
      </c>
      <c r="I1558" s="1" t="str">
        <f t="shared" si="272"/>
        <v>Позитивний</v>
      </c>
      <c r="J1558" s="1" t="str">
        <f>"Ні"</f>
        <v>Ні</v>
      </c>
    </row>
    <row r="1559" spans="1:10" ht="135" x14ac:dyDescent="0.25">
      <c r="A1559" s="1" t="str">
        <f>"1620-2020/27"</f>
        <v>1620-2020/27</v>
      </c>
      <c r="B1559" s="1" t="str">
        <f t="shared" si="273"/>
        <v>12.03.2020</v>
      </c>
      <c r="C1559" s="1" t="str">
        <f t="shared" si="274"/>
        <v>Закрито</v>
      </c>
      <c r="D155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559" s="1" t="str">
        <f>"Земельні питання"</f>
        <v>Земельні питання</v>
      </c>
      <c r="F15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59" s="1" t="str">
        <f>"14"</f>
        <v>14</v>
      </c>
      <c r="H1559" s="1" t="str">
        <f>"Результат"</f>
        <v>Результат</v>
      </c>
      <c r="I1559" s="1" t="str">
        <f t="shared" si="272"/>
        <v>Позитивний</v>
      </c>
      <c r="J1559" s="1" t="str">
        <f>"Ні"</f>
        <v>Ні</v>
      </c>
    </row>
    <row r="1560" spans="1:10" ht="45" x14ac:dyDescent="0.25">
      <c r="A1560" s="1" t="str">
        <f>"1608-2020/27"</f>
        <v>1608-2020/27</v>
      </c>
      <c r="B1560" s="1" t="str">
        <f t="shared" si="273"/>
        <v>12.03.2020</v>
      </c>
      <c r="C1560" s="1" t="str">
        <f t="shared" si="274"/>
        <v>Закрито</v>
      </c>
      <c r="D1560" s="1" t="str">
        <f>"Реєстрація місця проживання особи"</f>
        <v>Реєстрація місця проживання особи</v>
      </c>
      <c r="E1560" s="1" t="str">
        <f>"Реєстрація місця проживання"</f>
        <v>Реєстрація місця проживання</v>
      </c>
      <c r="F1560" s="1" t="str">
        <f>"Відділ реєстрації Новокаховської міської ради"</f>
        <v>Відділ реєстрації Новокаховської міської ради</v>
      </c>
      <c r="G1560" s="1" t="str">
        <f>"1"</f>
        <v>1</v>
      </c>
      <c r="H1560" s="1" t="str">
        <f>"Результат"</f>
        <v>Результат</v>
      </c>
      <c r="I1560" s="1" t="str">
        <f t="shared" si="272"/>
        <v>Позитивний</v>
      </c>
      <c r="J1560" s="1" t="str">
        <f>"Так"</f>
        <v>Так</v>
      </c>
    </row>
    <row r="1561" spans="1:10" ht="45" x14ac:dyDescent="0.25">
      <c r="A1561" s="1" t="str">
        <f>"1622-2020/27"</f>
        <v>1622-2020/27</v>
      </c>
      <c r="B1561" s="1" t="str">
        <f t="shared" si="273"/>
        <v>12.03.2020</v>
      </c>
      <c r="C1561" s="1" t="str">
        <f t="shared" si="274"/>
        <v>Закрито</v>
      </c>
      <c r="D1561" s="1" t="str">
        <f>"Реєстрація місця проживання особи"</f>
        <v>Реєстрація місця проживання особи</v>
      </c>
      <c r="E1561" s="1" t="str">
        <f>"Реєстрація місця проживання"</f>
        <v>Реєстрація місця проживання</v>
      </c>
      <c r="F1561" s="1" t="str">
        <f>"Відділ реєстрації Новокаховської міської ради"</f>
        <v>Відділ реєстрації Новокаховської міської ради</v>
      </c>
      <c r="G1561" s="1" t="str">
        <f>"1"</f>
        <v>1</v>
      </c>
      <c r="H1561" s="1" t="str">
        <f>"Результат"</f>
        <v>Результат</v>
      </c>
      <c r="I1561" s="1" t="str">
        <f t="shared" si="272"/>
        <v>Позитивний</v>
      </c>
      <c r="J1561" s="1" t="str">
        <f>"Так"</f>
        <v>Так</v>
      </c>
    </row>
    <row r="1562" spans="1:10" ht="45" x14ac:dyDescent="0.25">
      <c r="A1562" s="1" t="str">
        <f>"1606-2020/27"</f>
        <v>1606-2020/27</v>
      </c>
      <c r="B1562" s="1" t="str">
        <f t="shared" si="273"/>
        <v>12.03.2020</v>
      </c>
      <c r="C1562" s="1" t="str">
        <f t="shared" si="274"/>
        <v>Закрито</v>
      </c>
      <c r="D1562" s="1" t="str">
        <f>"Реєстрація місця проживання особи"</f>
        <v>Реєстрація місця проживання особи</v>
      </c>
      <c r="E1562" s="1" t="str">
        <f>"Реєстрація місця проживання"</f>
        <v>Реєстрація місця проживання</v>
      </c>
      <c r="F1562" s="1" t="str">
        <f>"Відділ реєстрації Новокаховської міської ради"</f>
        <v>Відділ реєстрації Новокаховської міської ради</v>
      </c>
      <c r="G1562" s="1" t="str">
        <f>"1"</f>
        <v>1</v>
      </c>
      <c r="H1562" s="1" t="str">
        <f>"Результат"</f>
        <v>Результат</v>
      </c>
      <c r="I1562" s="1" t="str">
        <f t="shared" si="272"/>
        <v>Позитивний</v>
      </c>
      <c r="J1562" s="1" t="str">
        <f>"Так"</f>
        <v>Так</v>
      </c>
    </row>
    <row r="1563" spans="1:10" ht="135" x14ac:dyDescent="0.25">
      <c r="A1563" s="1" t="str">
        <f>"1595-2020/27"</f>
        <v>1595-2020/27</v>
      </c>
      <c r="B1563" s="1" t="str">
        <f t="shared" si="273"/>
        <v>12.03.2020</v>
      </c>
      <c r="C1563" s="1" t="str">
        <f t="shared" si="274"/>
        <v>Закрито</v>
      </c>
      <c r="D1563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63" s="1" t="str">
        <f>"Земельні питання"</f>
        <v>Земельні питання</v>
      </c>
      <c r="F15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63" s="1" t="str">
        <f>"14"</f>
        <v>14</v>
      </c>
      <c r="H1563" s="1" t="str">
        <f>"Результат"</f>
        <v>Результат</v>
      </c>
      <c r="I1563" s="1" t="str">
        <f t="shared" si="272"/>
        <v>Позитивний</v>
      </c>
      <c r="J1563" s="1" t="str">
        <f>"Ні"</f>
        <v>Ні</v>
      </c>
    </row>
    <row r="1564" spans="1:10" ht="135" x14ac:dyDescent="0.25">
      <c r="A1564" s="1" t="str">
        <f>"1596-2020/27"</f>
        <v>1596-2020/27</v>
      </c>
      <c r="B1564" s="1" t="str">
        <f t="shared" si="273"/>
        <v>12.03.2020</v>
      </c>
      <c r="C1564" s="1" t="str">
        <f t="shared" si="274"/>
        <v>Закрито</v>
      </c>
      <c r="D156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64" s="1" t="str">
        <f>"Земельні питання"</f>
        <v>Земельні питання</v>
      </c>
      <c r="F15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64" s="1" t="str">
        <f>"14"</f>
        <v>14</v>
      </c>
      <c r="H1564" s="1" t="str">
        <f>"Результат"</f>
        <v>Результат</v>
      </c>
      <c r="I1564" s="1" t="str">
        <f t="shared" si="272"/>
        <v>Позитивний</v>
      </c>
      <c r="J1564" s="1" t="str">
        <f>"Ні"</f>
        <v>Ні</v>
      </c>
    </row>
    <row r="1565" spans="1:10" ht="45" x14ac:dyDescent="0.25">
      <c r="A1565" s="1" t="str">
        <f>"1621-2020/27"</f>
        <v>1621-2020/27</v>
      </c>
      <c r="B1565" s="1" t="str">
        <f t="shared" si="273"/>
        <v>12.03.2020</v>
      </c>
      <c r="C1565" s="1" t="str">
        <f t="shared" si="274"/>
        <v>Закрито</v>
      </c>
      <c r="D1565" s="1" t="str">
        <f>"Зняття з реєстрації місця проживання"</f>
        <v>Зняття з реєстрації місця проживання</v>
      </c>
      <c r="E1565" s="1" t="str">
        <f>"Реєстрація місця проживання"</f>
        <v>Реєстрація місця проживання</v>
      </c>
      <c r="F1565" s="1" t="str">
        <f>"Відділ реєстрації Новокаховської міської ради"</f>
        <v>Відділ реєстрації Новокаховської міської ради</v>
      </c>
      <c r="G1565" s="1" t="str">
        <f>"1"</f>
        <v>1</v>
      </c>
      <c r="H1565" s="1" t="str">
        <f>"Результат"</f>
        <v>Результат</v>
      </c>
      <c r="I1565" s="1" t="str">
        <f t="shared" si="272"/>
        <v>Позитивний</v>
      </c>
      <c r="J1565" s="1" t="str">
        <f>"Так"</f>
        <v>Так</v>
      </c>
    </row>
    <row r="1566" spans="1:10" ht="135" x14ac:dyDescent="0.25">
      <c r="A1566" s="1" t="str">
        <f>"1630-2020/27"</f>
        <v>1630-2020/27</v>
      </c>
      <c r="B1566" s="1" t="str">
        <f t="shared" si="273"/>
        <v>12.03.2020</v>
      </c>
      <c r="C1566" s="1" t="str">
        <f t="shared" si="274"/>
        <v>Закрито</v>
      </c>
      <c r="D156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66" s="1" t="str">
        <f>"Земельні питання"</f>
        <v>Земельні питання</v>
      </c>
      <c r="F15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66" s="1" t="str">
        <f>"1"</f>
        <v>1</v>
      </c>
      <c r="H1566" s="1" t="str">
        <f>"Результат"</f>
        <v>Результат</v>
      </c>
      <c r="I1566" s="1" t="str">
        <f t="shared" si="272"/>
        <v>Позитивний</v>
      </c>
      <c r="J1566" s="1" t="str">
        <f>"Так"</f>
        <v>Так</v>
      </c>
    </row>
    <row r="1567" spans="1:10" ht="45" x14ac:dyDescent="0.25">
      <c r="A1567" s="1" t="str">
        <f>"1615-2020/27"</f>
        <v>1615-2020/27</v>
      </c>
      <c r="B1567" s="1" t="str">
        <f t="shared" si="273"/>
        <v>12.03.2020</v>
      </c>
      <c r="C1567" s="1" t="str">
        <f t="shared" si="274"/>
        <v>Закрито</v>
      </c>
      <c r="D1567" s="1" t="str">
        <f>"Реєстрація місця проживання особи"</f>
        <v>Реєстрація місця проживання особи</v>
      </c>
      <c r="E1567" s="1" t="str">
        <f>"Реєстрація місця проживання"</f>
        <v>Реєстрація місця проживання</v>
      </c>
      <c r="F1567" s="1" t="str">
        <f>"Відділ реєстрації Новокаховської міської ради"</f>
        <v>Відділ реєстрації Новокаховської міської ради</v>
      </c>
      <c r="G1567" s="1" t="str">
        <f>"1"</f>
        <v>1</v>
      </c>
      <c r="H1567" s="1" t="str">
        <f>"Результат"</f>
        <v>Результат</v>
      </c>
      <c r="I1567" s="1" t="str">
        <f t="shared" si="272"/>
        <v>Позитивний</v>
      </c>
      <c r="J1567" s="1" t="str">
        <f>"Так"</f>
        <v>Так</v>
      </c>
    </row>
    <row r="1568" spans="1:10" ht="105" x14ac:dyDescent="0.25">
      <c r="A1568" s="1" t="str">
        <f>"1625-2020/27"</f>
        <v>1625-2020/27</v>
      </c>
      <c r="B1568" s="1" t="str">
        <f t="shared" si="273"/>
        <v>12.03.2020</v>
      </c>
      <c r="C1568" s="1" t="str">
        <f t="shared" si="274"/>
        <v>Закрито</v>
      </c>
      <c r="D156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68" s="1" t="str">
        <f>"Земельні питання"</f>
        <v>Земельні питання</v>
      </c>
      <c r="F156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568" s="1" t="str">
        <f>"1"</f>
        <v>1</v>
      </c>
      <c r="H1568" s="1" t="str">
        <f>"Результат"</f>
        <v>Результат</v>
      </c>
      <c r="I1568" s="1" t="str">
        <f t="shared" si="272"/>
        <v>Позитивний</v>
      </c>
      <c r="J1568" s="1" t="str">
        <f>"Так"</f>
        <v>Так</v>
      </c>
    </row>
    <row r="1569" spans="1:10" ht="135" x14ac:dyDescent="0.25">
      <c r="A1569" s="1" t="str">
        <f>"1610-2020/27"</f>
        <v>1610-2020/27</v>
      </c>
      <c r="B1569" s="1" t="str">
        <f t="shared" si="273"/>
        <v>12.03.2020</v>
      </c>
      <c r="C1569" s="1" t="str">
        <f t="shared" si="274"/>
        <v>Закрито</v>
      </c>
      <c r="D156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569" s="1" t="str">
        <f>"Земельні питання"</f>
        <v>Земельні питання</v>
      </c>
      <c r="F15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69" s="1" t="str">
        <f>"14"</f>
        <v>14</v>
      </c>
      <c r="H1569" s="1" t="str">
        <f>"Результат"</f>
        <v>Результат</v>
      </c>
      <c r="I1569" s="1" t="str">
        <f t="shared" si="272"/>
        <v>Позитивний</v>
      </c>
      <c r="J1569" s="1" t="str">
        <f>"Ні"</f>
        <v>Ні</v>
      </c>
    </row>
    <row r="1570" spans="1:10" ht="135" x14ac:dyDescent="0.25">
      <c r="A1570" s="1" t="str">
        <f>"1631-2020/27"</f>
        <v>1631-2020/27</v>
      </c>
      <c r="B1570" s="1" t="str">
        <f t="shared" si="273"/>
        <v>12.03.2020</v>
      </c>
      <c r="C1570" s="1" t="str">
        <f t="shared" si="274"/>
        <v>Закрито</v>
      </c>
      <c r="D157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70" s="1" t="str">
        <f>"Земельні питання"</f>
        <v>Земельні питання</v>
      </c>
      <c r="F15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70" s="1" t="str">
        <f>"3"</f>
        <v>3</v>
      </c>
      <c r="H1570" s="1" t="str">
        <f>"Результат"</f>
        <v>Результат</v>
      </c>
      <c r="I1570" s="1" t="str">
        <f t="shared" si="272"/>
        <v>Позитивний</v>
      </c>
      <c r="J1570" s="1" t="str">
        <f>"Ні"</f>
        <v>Ні</v>
      </c>
    </row>
    <row r="1571" spans="1:10" ht="45" x14ac:dyDescent="0.25">
      <c r="A1571" s="1" t="str">
        <f>"1627-2020/27"</f>
        <v>1627-2020/27</v>
      </c>
      <c r="B1571" s="1" t="str">
        <f t="shared" si="273"/>
        <v>12.03.2020</v>
      </c>
      <c r="C1571" s="1" t="str">
        <f t="shared" si="274"/>
        <v>Закрито</v>
      </c>
      <c r="D1571" s="1" t="str">
        <f>"Зняття з реєстрації місця проживання"</f>
        <v>Зняття з реєстрації місця проживання</v>
      </c>
      <c r="E1571" s="1" t="str">
        <f>"Реєстрація місця проживання"</f>
        <v>Реєстрація місця проживання</v>
      </c>
      <c r="F1571" s="1" t="str">
        <f>"Відділ реєстрації Новокаховської міської ради"</f>
        <v>Відділ реєстрації Новокаховської міської ради</v>
      </c>
      <c r="G1571" s="1" t="str">
        <f>"1"</f>
        <v>1</v>
      </c>
      <c r="H1571" s="1" t="str">
        <f>"Результат"</f>
        <v>Результат</v>
      </c>
      <c r="I1571" s="1" t="str">
        <f t="shared" si="272"/>
        <v>Позитивний</v>
      </c>
      <c r="J1571" s="1" t="str">
        <f>"Так"</f>
        <v>Так</v>
      </c>
    </row>
    <row r="1572" spans="1:10" ht="135" x14ac:dyDescent="0.25">
      <c r="A1572" s="1" t="str">
        <f>"1612-2020/27"</f>
        <v>1612-2020/27</v>
      </c>
      <c r="B1572" s="1" t="str">
        <f t="shared" si="273"/>
        <v>12.03.2020</v>
      </c>
      <c r="C1572" s="1" t="str">
        <f t="shared" si="274"/>
        <v>Закрито</v>
      </c>
      <c r="D157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572" s="1" t="str">
        <f>"Земельні питання"</f>
        <v>Земельні питання</v>
      </c>
      <c r="F15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72" s="1" t="str">
        <f>"14"</f>
        <v>14</v>
      </c>
      <c r="H1572" s="1" t="str">
        <f>"Результат"</f>
        <v>Результат</v>
      </c>
      <c r="I1572" s="1" t="str">
        <f t="shared" si="272"/>
        <v>Позитивний</v>
      </c>
      <c r="J1572" s="1" t="str">
        <f>"Ні"</f>
        <v>Ні</v>
      </c>
    </row>
    <row r="1573" spans="1:10" ht="120" x14ac:dyDescent="0.25">
      <c r="A1573" s="1" t="str">
        <f>"1618-2020/27"</f>
        <v>1618-2020/27</v>
      </c>
      <c r="B1573" s="1" t="str">
        <f t="shared" si="273"/>
        <v>12.03.2020</v>
      </c>
      <c r="C1573" s="1" t="str">
        <f t="shared" si="274"/>
        <v>Закрито</v>
      </c>
      <c r="D1573" s="1" t="str">
        <f>"Реєстрація декларації відповідності матеріально-технічної бази суб’єкта господарювання вимогам законодавства з питань пожежної безпеки"</f>
        <v>Реєстрація декларації відповідності матеріально-технічної бази суб’єкта господарювання вимогам законодавства з питань пожежної безпеки</v>
      </c>
      <c r="E1573" s="1" t="str">
        <f>"Пожежна безпека"</f>
        <v>Пожежна безпека</v>
      </c>
      <c r="F1573" s="1" t="str">
        <f>"Новокаховський міський відділ Управління Державної служби України з надзвичайних ситуацій у Херсонській області"</f>
        <v>Новокаховський міський відділ Управління Державної служби України з надзвичайних ситуацій у Херсонській області</v>
      </c>
      <c r="G1573" s="1" t="str">
        <f>"10"</f>
        <v>10</v>
      </c>
      <c r="H1573" s="1" t="str">
        <f>"Результат"</f>
        <v>Результат</v>
      </c>
      <c r="I1573" s="1" t="str">
        <f t="shared" si="272"/>
        <v>Позитивний</v>
      </c>
      <c r="J1573" s="1" t="str">
        <f>"Ні"</f>
        <v>Ні</v>
      </c>
    </row>
    <row r="1574" spans="1:10" ht="135" x14ac:dyDescent="0.25">
      <c r="A1574" s="1" t="str">
        <f>"1617-2020/27"</f>
        <v>1617-2020/27</v>
      </c>
      <c r="B1574" s="1" t="str">
        <f t="shared" si="273"/>
        <v>12.03.2020</v>
      </c>
      <c r="C1574" s="1" t="str">
        <f t="shared" si="274"/>
        <v>Закрито</v>
      </c>
      <c r="D157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74" s="1" t="str">
        <f>"Земельні питання"</f>
        <v>Земельні питання</v>
      </c>
      <c r="F15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74" s="1" t="str">
        <f>"3"</f>
        <v>3</v>
      </c>
      <c r="H1574" s="1" t="str">
        <f>"Результат"</f>
        <v>Результат</v>
      </c>
      <c r="I1574" s="1" t="str">
        <f t="shared" si="272"/>
        <v>Позитивний</v>
      </c>
      <c r="J1574" s="1" t="str">
        <f>"Ні"</f>
        <v>Ні</v>
      </c>
    </row>
    <row r="1575" spans="1:10" ht="45" x14ac:dyDescent="0.25">
      <c r="A1575" s="1" t="str">
        <f>"1605-2020/27"</f>
        <v>1605-2020/27</v>
      </c>
      <c r="B1575" s="1" t="str">
        <f t="shared" si="273"/>
        <v>12.03.2020</v>
      </c>
      <c r="C1575" s="1" t="str">
        <f t="shared" si="274"/>
        <v>Закрито</v>
      </c>
      <c r="D1575" s="1" t="str">
        <f>"Реєстрація місця проживання особи"</f>
        <v>Реєстрація місця проживання особи</v>
      </c>
      <c r="E1575" s="1" t="str">
        <f>"Реєстрація місця проживання"</f>
        <v>Реєстрація місця проживання</v>
      </c>
      <c r="F1575" s="1" t="str">
        <f>"Відділ реєстрації Новокаховської міської ради"</f>
        <v>Відділ реєстрації Новокаховської міської ради</v>
      </c>
      <c r="G1575" s="1" t="str">
        <f>"1"</f>
        <v>1</v>
      </c>
      <c r="H1575" s="1" t="str">
        <f>"Результат"</f>
        <v>Результат</v>
      </c>
      <c r="I1575" s="1" t="str">
        <f t="shared" si="272"/>
        <v>Позитивний</v>
      </c>
      <c r="J1575" s="1" t="str">
        <f>"Так"</f>
        <v>Так</v>
      </c>
    </row>
    <row r="1576" spans="1:10" ht="90" x14ac:dyDescent="0.25">
      <c r="A1576" s="1" t="str">
        <f>"1609-2020/27"</f>
        <v>1609-2020/27</v>
      </c>
      <c r="B1576" s="1" t="str">
        <f t="shared" si="273"/>
        <v>12.03.2020</v>
      </c>
      <c r="C1576" s="1" t="str">
        <f t="shared" si="274"/>
        <v>Закрито</v>
      </c>
      <c r="D157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76" s="1" t="str">
        <f>"Інші послуги"</f>
        <v>Інші послуги</v>
      </c>
      <c r="F157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76" s="1" t="str">
        <f>"5"</f>
        <v>5</v>
      </c>
      <c r="H1576" s="1" t="str">
        <f>"Результат"</f>
        <v>Результат</v>
      </c>
      <c r="I1576" s="1" t="str">
        <f t="shared" si="272"/>
        <v>Позитивний</v>
      </c>
      <c r="J1576" s="1" t="str">
        <f>"Ні"</f>
        <v>Ні</v>
      </c>
    </row>
    <row r="1577" spans="1:10" ht="45" x14ac:dyDescent="0.25">
      <c r="A1577" s="1" t="str">
        <f>"1623-2020/27"</f>
        <v>1623-2020/27</v>
      </c>
      <c r="B1577" s="1" t="str">
        <f t="shared" si="273"/>
        <v>12.03.2020</v>
      </c>
      <c r="C1577" s="1" t="str">
        <f t="shared" si="274"/>
        <v>Закрито</v>
      </c>
      <c r="D1577" s="1" t="str">
        <f>"Реєстрація місця проживання особи"</f>
        <v>Реєстрація місця проживання особи</v>
      </c>
      <c r="E1577" s="1" t="str">
        <f>"Реєстрація місця проживання"</f>
        <v>Реєстрація місця проживання</v>
      </c>
      <c r="F1577" s="1" t="str">
        <f>"Відділ реєстрації Новокаховської міської ради"</f>
        <v>Відділ реєстрації Новокаховської міської ради</v>
      </c>
      <c r="G1577" s="1" t="str">
        <f>"1"</f>
        <v>1</v>
      </c>
      <c r="H1577" s="1" t="str">
        <f>"Результат"</f>
        <v>Результат</v>
      </c>
      <c r="I1577" s="1" t="str">
        <f t="shared" si="272"/>
        <v>Позитивний</v>
      </c>
      <c r="J1577" s="1" t="str">
        <f>"Так"</f>
        <v>Так</v>
      </c>
    </row>
    <row r="1578" spans="1:10" ht="135" x14ac:dyDescent="0.25">
      <c r="A1578" s="1" t="str">
        <f>"1648-2020/27"</f>
        <v>1648-2020/27</v>
      </c>
      <c r="B1578" s="1" t="str">
        <f t="shared" ref="B1578:B1604" si="276">"13.03.2020"</f>
        <v>13.03.2020</v>
      </c>
      <c r="C1578" s="1" t="str">
        <f t="shared" si="274"/>
        <v>Закрито</v>
      </c>
      <c r="D157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78" s="1" t="str">
        <f>"Земельні питання"</f>
        <v>Земельні питання</v>
      </c>
      <c r="F15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78" s="1" t="str">
        <f>"3"</f>
        <v>3</v>
      </c>
      <c r="H1578" s="1" t="str">
        <f>"Результат"</f>
        <v>Результат</v>
      </c>
      <c r="I1578" s="1" t="str">
        <f>"Мотивована відмова"</f>
        <v>Мотивована відмова</v>
      </c>
      <c r="J1578" s="1" t="str">
        <f>"Ні"</f>
        <v>Ні</v>
      </c>
    </row>
    <row r="1579" spans="1:10" ht="45" x14ac:dyDescent="0.25">
      <c r="A1579" s="1" t="str">
        <f>"1651-2020/27"</f>
        <v>1651-2020/27</v>
      </c>
      <c r="B1579" s="1" t="str">
        <f t="shared" si="276"/>
        <v>13.03.2020</v>
      </c>
      <c r="C1579" s="1" t="str">
        <f t="shared" si="274"/>
        <v>Закрито</v>
      </c>
      <c r="D1579" s="1" t="str">
        <f>"Зняття з реєстрації місця проживання"</f>
        <v>Зняття з реєстрації місця проживання</v>
      </c>
      <c r="E1579" s="1" t="str">
        <f>"Реєстрація місця проживання"</f>
        <v>Реєстрація місця проживання</v>
      </c>
      <c r="F1579" s="1" t="str">
        <f>"Відділ реєстрації Новокаховської міської ради"</f>
        <v>Відділ реєстрації Новокаховської міської ради</v>
      </c>
      <c r="G1579" s="1" t="str">
        <f>"1"</f>
        <v>1</v>
      </c>
      <c r="H1579" s="1" t="str">
        <f>"Результат"</f>
        <v>Результат</v>
      </c>
      <c r="I1579" s="1" t="str">
        <f t="shared" ref="I1579:I1590" si="277">"Позитивний"</f>
        <v>Позитивний</v>
      </c>
      <c r="J1579" s="1" t="str">
        <f>"Так"</f>
        <v>Так</v>
      </c>
    </row>
    <row r="1580" spans="1:10" ht="45" x14ac:dyDescent="0.25">
      <c r="A1580" s="1" t="str">
        <f>"1646-2020/27"</f>
        <v>1646-2020/27</v>
      </c>
      <c r="B1580" s="1" t="str">
        <f t="shared" si="276"/>
        <v>13.03.2020</v>
      </c>
      <c r="C1580" s="1" t="str">
        <f t="shared" si="274"/>
        <v>Закрито</v>
      </c>
      <c r="D1580" s="1" t="str">
        <f>"Зняття з реєстрації місця проживання"</f>
        <v>Зняття з реєстрації місця проживання</v>
      </c>
      <c r="E1580" s="1" t="str">
        <f>"Реєстрація місця проживання"</f>
        <v>Реєстрація місця проживання</v>
      </c>
      <c r="F1580" s="1" t="str">
        <f>"Відділ реєстрації Новокаховської міської ради"</f>
        <v>Відділ реєстрації Новокаховської міської ради</v>
      </c>
      <c r="G1580" s="1" t="str">
        <f>"1"</f>
        <v>1</v>
      </c>
      <c r="H1580" s="1" t="str">
        <f>"Результат"</f>
        <v>Результат</v>
      </c>
      <c r="I1580" s="1" t="str">
        <f t="shared" si="277"/>
        <v>Позитивний</v>
      </c>
      <c r="J1580" s="1" t="str">
        <f>"Так"</f>
        <v>Так</v>
      </c>
    </row>
    <row r="1581" spans="1:10" ht="135" x14ac:dyDescent="0.25">
      <c r="A1581" s="1" t="str">
        <f>"1638-2020/27"</f>
        <v>1638-2020/27</v>
      </c>
      <c r="B1581" s="1" t="str">
        <f t="shared" si="276"/>
        <v>13.03.2020</v>
      </c>
      <c r="C1581" s="1" t="str">
        <f t="shared" si="274"/>
        <v>Закрито</v>
      </c>
      <c r="D158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81" s="1" t="str">
        <f>"Земельні питання"</f>
        <v>Земельні питання</v>
      </c>
      <c r="F15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81" s="1" t="str">
        <f>"3"</f>
        <v>3</v>
      </c>
      <c r="H1581" s="1" t="str">
        <f>"Результат"</f>
        <v>Результат</v>
      </c>
      <c r="I1581" s="1" t="str">
        <f t="shared" si="277"/>
        <v>Позитивний</v>
      </c>
      <c r="J1581" s="1" t="str">
        <f>"Ні"</f>
        <v>Ні</v>
      </c>
    </row>
    <row r="1582" spans="1:10" ht="135" x14ac:dyDescent="0.25">
      <c r="A1582" s="1" t="str">
        <f>"1639-2020/27"</f>
        <v>1639-2020/27</v>
      </c>
      <c r="B1582" s="1" t="str">
        <f t="shared" si="276"/>
        <v>13.03.2020</v>
      </c>
      <c r="C1582" s="1" t="str">
        <f t="shared" si="274"/>
        <v>Закрито</v>
      </c>
      <c r="D158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82" s="1" t="str">
        <f>"Земельні питання"</f>
        <v>Земельні питання</v>
      </c>
      <c r="F15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82" s="1" t="str">
        <f>"3"</f>
        <v>3</v>
      </c>
      <c r="H1582" s="1" t="str">
        <f>"Результат"</f>
        <v>Результат</v>
      </c>
      <c r="I1582" s="1" t="str">
        <f t="shared" si="277"/>
        <v>Позитивний</v>
      </c>
      <c r="J1582" s="1" t="str">
        <f>"Ні"</f>
        <v>Ні</v>
      </c>
    </row>
    <row r="1583" spans="1:10" ht="105" x14ac:dyDescent="0.25">
      <c r="A1583" s="1" t="str">
        <f>"1650-2020/27"</f>
        <v>1650-2020/27</v>
      </c>
      <c r="B1583" s="1" t="str">
        <f t="shared" si="276"/>
        <v>13.03.2020</v>
      </c>
      <c r="C1583" s="1" t="str">
        <f t="shared" si="274"/>
        <v>Закрито</v>
      </c>
      <c r="D15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83" s="1" t="str">
        <f>"Земельні питання"</f>
        <v>Земельні питання</v>
      </c>
      <c r="F158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583" s="1" t="str">
        <f>"1"</f>
        <v>1</v>
      </c>
      <c r="H1583" s="1" t="str">
        <f>"Результат"</f>
        <v>Результат</v>
      </c>
      <c r="I1583" s="1" t="str">
        <f t="shared" si="277"/>
        <v>Позитивний</v>
      </c>
      <c r="J1583" s="1" t="str">
        <f>"Так"</f>
        <v>Так</v>
      </c>
    </row>
    <row r="1584" spans="1:10" ht="135" x14ac:dyDescent="0.25">
      <c r="A1584" s="1" t="str">
        <f>"1644-2020/27"</f>
        <v>1644-2020/27</v>
      </c>
      <c r="B1584" s="1" t="str">
        <f t="shared" si="276"/>
        <v>13.03.2020</v>
      </c>
      <c r="C1584" s="1" t="str">
        <f t="shared" si="274"/>
        <v>Закрито</v>
      </c>
      <c r="D158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84" s="1" t="str">
        <f>"Земельні питання"</f>
        <v>Земельні питання</v>
      </c>
      <c r="F15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84" s="1" t="str">
        <f>"3"</f>
        <v>3</v>
      </c>
      <c r="H1584" s="1" t="str">
        <f>"Результат"</f>
        <v>Результат</v>
      </c>
      <c r="I1584" s="1" t="str">
        <f t="shared" si="277"/>
        <v>Позитивний</v>
      </c>
      <c r="J1584" s="1" t="str">
        <f t="shared" ref="J1584:J1591" si="278">"Ні"</f>
        <v>Ні</v>
      </c>
    </row>
    <row r="1585" spans="1:10" ht="90" x14ac:dyDescent="0.25">
      <c r="A1585" s="1" t="str">
        <f>"1635-2020/27"</f>
        <v>1635-2020/27</v>
      </c>
      <c r="B1585" s="1" t="str">
        <f t="shared" si="276"/>
        <v>13.03.2020</v>
      </c>
      <c r="C1585" s="1" t="str">
        <f t="shared" si="274"/>
        <v>Закрито</v>
      </c>
      <c r="D158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585" s="1" t="str">
        <f>"Інші послуги"</f>
        <v>Інші послуги</v>
      </c>
      <c r="F158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585" s="1" t="str">
        <f>"5"</f>
        <v>5</v>
      </c>
      <c r="H1585" s="1" t="str">
        <f>"Результат"</f>
        <v>Результат</v>
      </c>
      <c r="I1585" s="1" t="str">
        <f t="shared" si="277"/>
        <v>Позитивний</v>
      </c>
      <c r="J1585" s="1" t="str">
        <f t="shared" si="278"/>
        <v>Ні</v>
      </c>
    </row>
    <row r="1586" spans="1:10" ht="135" x14ac:dyDescent="0.25">
      <c r="A1586" s="1" t="str">
        <f>"1640-2020/27"</f>
        <v>1640-2020/27</v>
      </c>
      <c r="B1586" s="1" t="str">
        <f t="shared" si="276"/>
        <v>13.03.2020</v>
      </c>
      <c r="C1586" s="1" t="str">
        <f t="shared" si="274"/>
        <v>Закрито</v>
      </c>
      <c r="D158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86" s="1" t="str">
        <f>"Земельні питання"</f>
        <v>Земельні питання</v>
      </c>
      <c r="F158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86" s="1" t="str">
        <f>"3"</f>
        <v>3</v>
      </c>
      <c r="H1586" s="1" t="str">
        <f>"Результат"</f>
        <v>Результат</v>
      </c>
      <c r="I1586" s="1" t="str">
        <f t="shared" si="277"/>
        <v>Позитивний</v>
      </c>
      <c r="J1586" s="1" t="str">
        <f t="shared" si="278"/>
        <v>Ні</v>
      </c>
    </row>
    <row r="1587" spans="1:10" ht="135" x14ac:dyDescent="0.25">
      <c r="A1587" s="1" t="str">
        <f>"1649-2020/27"</f>
        <v>1649-2020/27</v>
      </c>
      <c r="B1587" s="1" t="str">
        <f t="shared" si="276"/>
        <v>13.03.2020</v>
      </c>
      <c r="C1587" s="1" t="str">
        <f t="shared" si="274"/>
        <v>Закрито</v>
      </c>
      <c r="D158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87" s="1" t="str">
        <f>"Земельні питання"</f>
        <v>Земельні питання</v>
      </c>
      <c r="F15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87" s="1" t="str">
        <f>"3"</f>
        <v>3</v>
      </c>
      <c r="H1587" s="1" t="str">
        <f>"Результат"</f>
        <v>Результат</v>
      </c>
      <c r="I1587" s="1" t="str">
        <f t="shared" si="277"/>
        <v>Позитивний</v>
      </c>
      <c r="J1587" s="1" t="str">
        <f t="shared" si="278"/>
        <v>Ні</v>
      </c>
    </row>
    <row r="1588" spans="1:10" ht="135" x14ac:dyDescent="0.25">
      <c r="A1588" s="1" t="str">
        <f>"1636-2020/27"</f>
        <v>1636-2020/27</v>
      </c>
      <c r="B1588" s="1" t="str">
        <f t="shared" si="276"/>
        <v>13.03.2020</v>
      </c>
      <c r="C1588" s="1" t="str">
        <f t="shared" si="274"/>
        <v>Закрито</v>
      </c>
      <c r="D15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88" s="1" t="str">
        <f>"Земельні питання"</f>
        <v>Земельні питання</v>
      </c>
      <c r="F15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88" s="1" t="str">
        <f>"3"</f>
        <v>3</v>
      </c>
      <c r="H1588" s="1" t="str">
        <f>"Результат"</f>
        <v>Результат</v>
      </c>
      <c r="I1588" s="1" t="str">
        <f t="shared" si="277"/>
        <v>Позитивний</v>
      </c>
      <c r="J1588" s="1" t="str">
        <f t="shared" si="278"/>
        <v>Ні</v>
      </c>
    </row>
    <row r="1589" spans="1:10" ht="135" x14ac:dyDescent="0.25">
      <c r="A1589" s="1" t="str">
        <f>"1645-2020/27"</f>
        <v>1645-2020/27</v>
      </c>
      <c r="B1589" s="1" t="str">
        <f t="shared" si="276"/>
        <v>13.03.2020</v>
      </c>
      <c r="C1589" s="1" t="str">
        <f t="shared" si="274"/>
        <v>Закрито</v>
      </c>
      <c r="D158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89" s="1" t="str">
        <f>"Земельні питання"</f>
        <v>Земельні питання</v>
      </c>
      <c r="F15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89" s="1" t="str">
        <f>"3"</f>
        <v>3</v>
      </c>
      <c r="H1589" s="1" t="str">
        <f>"Результат"</f>
        <v>Результат</v>
      </c>
      <c r="I1589" s="1" t="str">
        <f t="shared" si="277"/>
        <v>Позитивний</v>
      </c>
      <c r="J1589" s="1" t="str">
        <f t="shared" si="278"/>
        <v>Ні</v>
      </c>
    </row>
    <row r="1590" spans="1:10" ht="135" x14ac:dyDescent="0.25">
      <c r="A1590" s="1" t="str">
        <f>"1652-2020/27"</f>
        <v>1652-2020/27</v>
      </c>
      <c r="B1590" s="1" t="str">
        <f t="shared" si="276"/>
        <v>13.03.2020</v>
      </c>
      <c r="C1590" s="1" t="str">
        <f t="shared" si="274"/>
        <v>Закрито</v>
      </c>
      <c r="D159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90" s="1" t="str">
        <f>"Земельні питання"</f>
        <v>Земельні питання</v>
      </c>
      <c r="F15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90" s="1" t="str">
        <f>"3"</f>
        <v>3</v>
      </c>
      <c r="H1590" s="1" t="str">
        <f>"Результат"</f>
        <v>Результат</v>
      </c>
      <c r="I1590" s="1" t="str">
        <f t="shared" si="277"/>
        <v>Позитивний</v>
      </c>
      <c r="J1590" s="1" t="str">
        <f t="shared" si="278"/>
        <v>Ні</v>
      </c>
    </row>
    <row r="1591" spans="1:10" ht="195" x14ac:dyDescent="0.25">
      <c r="A1591" s="1" t="str">
        <f>"1656-2020/27"</f>
        <v>1656-2020/27</v>
      </c>
      <c r="B1591" s="1" t="str">
        <f t="shared" si="276"/>
        <v>13.03.2020</v>
      </c>
      <c r="C1591" s="1" t="str">
        <f>"На обробці в адмін. органі"</f>
        <v>На обробці в адмін. органі</v>
      </c>
      <c r="D1591" s="1" t="s">
        <v>13</v>
      </c>
      <c r="E1591" s="1" t="str">
        <f>"Державна реєстрація громадських об’єднань"</f>
        <v>Державна реєстрація громадських об’єднань</v>
      </c>
      <c r="F1591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1591" s="1" t="str">
        <f>"15"</f>
        <v>15</v>
      </c>
      <c r="H1591" s="1" t="str">
        <f>""</f>
        <v/>
      </c>
      <c r="I1591" s="1" t="str">
        <f>""</f>
        <v/>
      </c>
      <c r="J1591" s="1" t="str">
        <f t="shared" si="278"/>
        <v>Ні</v>
      </c>
    </row>
    <row r="1592" spans="1:10" ht="105" x14ac:dyDescent="0.25">
      <c r="A1592" s="1" t="str">
        <f>"1657-2020/27"</f>
        <v>1657-2020/27</v>
      </c>
      <c r="B1592" s="1" t="str">
        <f t="shared" si="276"/>
        <v>13.03.2020</v>
      </c>
      <c r="C1592" s="1" t="str">
        <f t="shared" ref="C1592:C1608" si="279">"Закрито"</f>
        <v>Закрито</v>
      </c>
      <c r="D15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92" s="1" t="str">
        <f>"Земельні питання"</f>
        <v>Земельні питання</v>
      </c>
      <c r="F159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592" s="1" t="str">
        <f>"1"</f>
        <v>1</v>
      </c>
      <c r="H1592" s="1" t="str">
        <f>"Результат"</f>
        <v>Результат</v>
      </c>
      <c r="I1592" s="1" t="str">
        <f t="shared" ref="I1592:I1608" si="280">"Позитивний"</f>
        <v>Позитивний</v>
      </c>
      <c r="J1592" s="1" t="str">
        <f>"Так"</f>
        <v>Так</v>
      </c>
    </row>
    <row r="1593" spans="1:10" ht="135" x14ac:dyDescent="0.25">
      <c r="A1593" s="1" t="str">
        <f>"1654-2020/27"</f>
        <v>1654-2020/27</v>
      </c>
      <c r="B1593" s="1" t="str">
        <f t="shared" si="276"/>
        <v>13.03.2020</v>
      </c>
      <c r="C1593" s="1" t="str">
        <f t="shared" si="279"/>
        <v>Закрито</v>
      </c>
      <c r="D1593" s="1" t="str">
        <f>"Надання відомостей з Державного земельного кадастру у формі витягу з Державного земельного кадастру про обмеження у використанні земель"</f>
        <v>Надання відомостей з Державного земельного кадастру у формі витягу з Державного земельного кадастру про обмеження у використанні земель</v>
      </c>
      <c r="E1593" s="1" t="str">
        <f>"Земельні питання"</f>
        <v>Земельні питання</v>
      </c>
      <c r="F15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93" s="1" t="str">
        <f>"10"</f>
        <v>10</v>
      </c>
      <c r="H1593" s="1" t="str">
        <f>"Результат"</f>
        <v>Результат</v>
      </c>
      <c r="I1593" s="1" t="str">
        <f t="shared" si="280"/>
        <v>Позитивний</v>
      </c>
      <c r="J1593" s="1" t="str">
        <f>"Так"</f>
        <v>Так</v>
      </c>
    </row>
    <row r="1594" spans="1:10" ht="105" x14ac:dyDescent="0.25">
      <c r="A1594" s="1" t="str">
        <f>"1647-2020/27"</f>
        <v>1647-2020/27</v>
      </c>
      <c r="B1594" s="1" t="str">
        <f t="shared" si="276"/>
        <v>13.03.2020</v>
      </c>
      <c r="C1594" s="1" t="str">
        <f t="shared" si="279"/>
        <v>Закрито</v>
      </c>
      <c r="D159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94" s="1" t="str">
        <f>"Земельні питання"</f>
        <v>Земельні питання</v>
      </c>
      <c r="F159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594" s="1" t="str">
        <f>"1"</f>
        <v>1</v>
      </c>
      <c r="H1594" s="1" t="str">
        <f>"Результат"</f>
        <v>Результат</v>
      </c>
      <c r="I1594" s="1" t="str">
        <f t="shared" si="280"/>
        <v>Позитивний</v>
      </c>
      <c r="J1594" s="1" t="str">
        <f>"Так"</f>
        <v>Так</v>
      </c>
    </row>
    <row r="1595" spans="1:10" ht="45" x14ac:dyDescent="0.25">
      <c r="A1595" s="1" t="str">
        <f>"1643-2020/27"</f>
        <v>1643-2020/27</v>
      </c>
      <c r="B1595" s="1" t="str">
        <f t="shared" si="276"/>
        <v>13.03.2020</v>
      </c>
      <c r="C1595" s="1" t="str">
        <f t="shared" si="279"/>
        <v>Закрито</v>
      </c>
      <c r="D1595" s="1" t="str">
        <f>"Реєстрація місця проживання особи"</f>
        <v>Реєстрація місця проживання особи</v>
      </c>
      <c r="E1595" s="1" t="str">
        <f>"Реєстрація місця проживання"</f>
        <v>Реєстрація місця проживання</v>
      </c>
      <c r="F1595" s="1" t="str">
        <f>"Відділ реєстрації Новокаховської міської ради"</f>
        <v>Відділ реєстрації Новокаховської міської ради</v>
      </c>
      <c r="G1595" s="1" t="str">
        <f>"1"</f>
        <v>1</v>
      </c>
      <c r="H1595" s="1" t="str">
        <f>"Результат"</f>
        <v>Результат</v>
      </c>
      <c r="I1595" s="1" t="str">
        <f t="shared" si="280"/>
        <v>Позитивний</v>
      </c>
      <c r="J1595" s="1" t="str">
        <f>"Так"</f>
        <v>Так</v>
      </c>
    </row>
    <row r="1596" spans="1:10" ht="135" x14ac:dyDescent="0.25">
      <c r="A1596" s="1" t="str">
        <f>"1653-2020/27"</f>
        <v>1653-2020/27</v>
      </c>
      <c r="B1596" s="1" t="str">
        <f t="shared" si="276"/>
        <v>13.03.2020</v>
      </c>
      <c r="C1596" s="1" t="str">
        <f t="shared" si="279"/>
        <v>Закрито</v>
      </c>
      <c r="D159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96" s="1" t="str">
        <f>"Земельні питання"</f>
        <v>Земельні питання</v>
      </c>
      <c r="F15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96" s="1" t="str">
        <f>"3"</f>
        <v>3</v>
      </c>
      <c r="H1596" s="1" t="str">
        <f>"Результат"</f>
        <v>Результат</v>
      </c>
      <c r="I1596" s="1" t="str">
        <f t="shared" si="280"/>
        <v>Позитивний</v>
      </c>
      <c r="J1596" s="1" t="str">
        <f>"Ні"</f>
        <v>Ні</v>
      </c>
    </row>
    <row r="1597" spans="1:10" ht="135" x14ac:dyDescent="0.25">
      <c r="A1597" s="1" t="str">
        <f>"1655-2020/27"</f>
        <v>1655-2020/27</v>
      </c>
      <c r="B1597" s="1" t="str">
        <f t="shared" si="276"/>
        <v>13.03.2020</v>
      </c>
      <c r="C1597" s="1" t="str">
        <f t="shared" si="279"/>
        <v>Закрито</v>
      </c>
      <c r="D159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597" s="1" t="str">
        <f>"Земельні питання"</f>
        <v>Земельні питання</v>
      </c>
      <c r="F15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97" s="1" t="str">
        <f>"1"</f>
        <v>1</v>
      </c>
      <c r="H1597" s="1" t="str">
        <f>"Результат"</f>
        <v>Результат</v>
      </c>
      <c r="I1597" s="1" t="str">
        <f t="shared" si="280"/>
        <v>Позитивний</v>
      </c>
      <c r="J1597" s="1" t="str">
        <f>"Так"</f>
        <v>Так</v>
      </c>
    </row>
    <row r="1598" spans="1:10" ht="135" x14ac:dyDescent="0.25">
      <c r="A1598" s="1" t="str">
        <f>"1641-2020/27"</f>
        <v>1641-2020/27</v>
      </c>
      <c r="B1598" s="1" t="str">
        <f t="shared" si="276"/>
        <v>13.03.2020</v>
      </c>
      <c r="C1598" s="1" t="str">
        <f t="shared" si="279"/>
        <v>Закрито</v>
      </c>
      <c r="D15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598" s="1" t="str">
        <f>"Земельні питання"</f>
        <v>Земельні питання</v>
      </c>
      <c r="F15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598" s="1" t="str">
        <f>"3"</f>
        <v>3</v>
      </c>
      <c r="H1598" s="1" t="str">
        <f>"Результат"</f>
        <v>Результат</v>
      </c>
      <c r="I1598" s="1" t="str">
        <f t="shared" si="280"/>
        <v>Позитивний</v>
      </c>
      <c r="J1598" s="1" t="str">
        <f>"Ні"</f>
        <v>Ні</v>
      </c>
    </row>
    <row r="1599" spans="1:10" ht="45" x14ac:dyDescent="0.25">
      <c r="A1599" s="1" t="str">
        <f>"1658-2020/27"</f>
        <v>1658-2020/27</v>
      </c>
      <c r="B1599" s="1" t="str">
        <f t="shared" si="276"/>
        <v>13.03.2020</v>
      </c>
      <c r="C1599" s="1" t="str">
        <f t="shared" si="279"/>
        <v>Закрито</v>
      </c>
      <c r="D1599" s="1" t="str">
        <f>"Реєстрація місця проживання особи"</f>
        <v>Реєстрація місця проживання особи</v>
      </c>
      <c r="E1599" s="1" t="str">
        <f>"Реєстрація місця проживання"</f>
        <v>Реєстрація місця проживання</v>
      </c>
      <c r="F1599" s="1" t="str">
        <f>"Відділ реєстрації Новокаховської міської ради"</f>
        <v>Відділ реєстрації Новокаховської міської ради</v>
      </c>
      <c r="G1599" s="1" t="str">
        <f>"1"</f>
        <v>1</v>
      </c>
      <c r="H1599" s="1" t="str">
        <f>"Результат"</f>
        <v>Результат</v>
      </c>
      <c r="I1599" s="1" t="str">
        <f t="shared" si="280"/>
        <v>Позитивний</v>
      </c>
      <c r="J1599" s="1" t="str">
        <f>"Так"</f>
        <v>Так</v>
      </c>
    </row>
    <row r="1600" spans="1:10" ht="135" x14ac:dyDescent="0.25">
      <c r="A1600" s="1" t="str">
        <f>"1637-2020/27"</f>
        <v>1637-2020/27</v>
      </c>
      <c r="B1600" s="1" t="str">
        <f t="shared" si="276"/>
        <v>13.03.2020</v>
      </c>
      <c r="C1600" s="1" t="str">
        <f t="shared" si="279"/>
        <v>Закрито</v>
      </c>
      <c r="D16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600" s="1" t="str">
        <f>"Земельні питання"</f>
        <v>Земельні питання</v>
      </c>
      <c r="F16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00" s="1" t="str">
        <f>"3"</f>
        <v>3</v>
      </c>
      <c r="H1600" s="1" t="str">
        <f>"Результат"</f>
        <v>Результат</v>
      </c>
      <c r="I1600" s="1" t="str">
        <f t="shared" si="280"/>
        <v>Позитивний</v>
      </c>
      <c r="J1600" s="1" t="str">
        <f>"Ні"</f>
        <v>Ні</v>
      </c>
    </row>
    <row r="1601" spans="1:10" ht="45" x14ac:dyDescent="0.25">
      <c r="A1601" s="1" t="str">
        <f>"1659-2020/27"</f>
        <v>1659-2020/27</v>
      </c>
      <c r="B1601" s="1" t="str">
        <f t="shared" si="276"/>
        <v>13.03.2020</v>
      </c>
      <c r="C1601" s="1" t="str">
        <f t="shared" si="279"/>
        <v>Закрито</v>
      </c>
      <c r="D1601" s="1" t="str">
        <f>"Зняття з реєстрації місця проживання"</f>
        <v>Зняття з реєстрації місця проживання</v>
      </c>
      <c r="E1601" s="1" t="str">
        <f>"Реєстрація місця проживання"</f>
        <v>Реєстрація місця проживання</v>
      </c>
      <c r="F1601" s="1" t="str">
        <f>"Відділ реєстрації Новокаховської міської ради"</f>
        <v>Відділ реєстрації Новокаховської міської ради</v>
      </c>
      <c r="G1601" s="1" t="str">
        <f>"1"</f>
        <v>1</v>
      </c>
      <c r="H1601" s="1" t="str">
        <f>"Результат"</f>
        <v>Результат</v>
      </c>
      <c r="I1601" s="1" t="str">
        <f t="shared" si="280"/>
        <v>Позитивний</v>
      </c>
      <c r="J1601" s="1" t="str">
        <f>"Так"</f>
        <v>Так</v>
      </c>
    </row>
    <row r="1602" spans="1:10" ht="45" x14ac:dyDescent="0.25">
      <c r="A1602" s="1" t="str">
        <f>"1642-2020/27"</f>
        <v>1642-2020/27</v>
      </c>
      <c r="B1602" s="1" t="str">
        <f t="shared" si="276"/>
        <v>13.03.2020</v>
      </c>
      <c r="C1602" s="1" t="str">
        <f t="shared" si="279"/>
        <v>Закрито</v>
      </c>
      <c r="D1602" s="1" t="str">
        <f>"Реєстрація місця проживання особи"</f>
        <v>Реєстрація місця проживання особи</v>
      </c>
      <c r="E1602" s="1" t="str">
        <f>"Реєстрація місця проживання"</f>
        <v>Реєстрація місця проживання</v>
      </c>
      <c r="F1602" s="1" t="str">
        <f>"Відділ реєстрації Новокаховської міської ради"</f>
        <v>Відділ реєстрації Новокаховської міської ради</v>
      </c>
      <c r="G1602" s="1" t="str">
        <f>"1"</f>
        <v>1</v>
      </c>
      <c r="H1602" s="1" t="str">
        <f>"Результат"</f>
        <v>Результат</v>
      </c>
      <c r="I1602" s="1" t="str">
        <f t="shared" si="280"/>
        <v>Позитивний</v>
      </c>
      <c r="J1602" s="1" t="str">
        <f>"Так"</f>
        <v>Так</v>
      </c>
    </row>
    <row r="1603" spans="1:10" ht="135" x14ac:dyDescent="0.25">
      <c r="A1603" s="1" t="str">
        <f>"1634-2020/27"</f>
        <v>1634-2020/27</v>
      </c>
      <c r="B1603" s="1" t="str">
        <f t="shared" si="276"/>
        <v>13.03.2020</v>
      </c>
      <c r="C1603" s="1" t="str">
        <f t="shared" si="279"/>
        <v>Закрито</v>
      </c>
      <c r="D160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603" s="1" t="str">
        <f t="shared" ref="E1603:E1608" si="281">"Земельні питання"</f>
        <v>Земельні питання</v>
      </c>
      <c r="F16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03" s="1" t="str">
        <f>"3"</f>
        <v>3</v>
      </c>
      <c r="H1603" s="1" t="str">
        <f>"Результат"</f>
        <v>Результат</v>
      </c>
      <c r="I1603" s="1" t="str">
        <f t="shared" si="280"/>
        <v>Позитивний</v>
      </c>
      <c r="J1603" s="1" t="str">
        <f>"Ні"</f>
        <v>Ні</v>
      </c>
    </row>
    <row r="1604" spans="1:10" ht="135" x14ac:dyDescent="0.25">
      <c r="A1604" s="1" t="str">
        <f>"1633-2020/27"</f>
        <v>1633-2020/27</v>
      </c>
      <c r="B1604" s="1" t="str">
        <f t="shared" si="276"/>
        <v>13.03.2020</v>
      </c>
      <c r="C1604" s="1" t="str">
        <f t="shared" si="279"/>
        <v>Закрито</v>
      </c>
      <c r="D160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604" s="1" t="str">
        <f t="shared" si="281"/>
        <v>Земельні питання</v>
      </c>
      <c r="F16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04" s="1" t="str">
        <f>"14"</f>
        <v>14</v>
      </c>
      <c r="H1604" s="1" t="str">
        <f>"Результат"</f>
        <v>Результат</v>
      </c>
      <c r="I1604" s="1" t="str">
        <f t="shared" si="280"/>
        <v>Позитивний</v>
      </c>
      <c r="J1604" s="1" t="str">
        <f>"Ні"</f>
        <v>Ні</v>
      </c>
    </row>
    <row r="1605" spans="1:10" ht="135" x14ac:dyDescent="0.25">
      <c r="A1605" s="1" t="str">
        <f>"1663-2020/27"</f>
        <v>1663-2020/27</v>
      </c>
      <c r="B1605" s="1" t="str">
        <f t="shared" ref="B1605:B1629" si="282">"16.03.2020"</f>
        <v>16.03.2020</v>
      </c>
      <c r="C1605" s="1" t="str">
        <f t="shared" si="279"/>
        <v>Закрито</v>
      </c>
      <c r="D160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605" s="1" t="str">
        <f t="shared" si="281"/>
        <v>Земельні питання</v>
      </c>
      <c r="F16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05" s="1" t="str">
        <f>"14"</f>
        <v>14</v>
      </c>
      <c r="H1605" s="1" t="str">
        <f>"Результат"</f>
        <v>Результат</v>
      </c>
      <c r="I1605" s="1" t="str">
        <f t="shared" si="280"/>
        <v>Позитивний</v>
      </c>
      <c r="J1605" s="1" t="str">
        <f>"Ні"</f>
        <v>Ні</v>
      </c>
    </row>
    <row r="1606" spans="1:10" ht="135" x14ac:dyDescent="0.25">
      <c r="A1606" s="1" t="str">
        <f>"1673-2020/27"</f>
        <v>1673-2020/27</v>
      </c>
      <c r="B1606" s="1" t="str">
        <f t="shared" si="282"/>
        <v>16.03.2020</v>
      </c>
      <c r="C1606" s="1" t="str">
        <f t="shared" si="279"/>
        <v>Закрито</v>
      </c>
      <c r="D1606" s="1" t="str">
        <f>"Надання відомостей з Державного земельного кадастру у формі витягу з Державного земельного кадастру про обмеження у використанні земель"</f>
        <v>Надання відомостей з Державного земельного кадастру у формі витягу з Державного земельного кадастру про обмеження у використанні земель</v>
      </c>
      <c r="E1606" s="1" t="str">
        <f t="shared" si="281"/>
        <v>Земельні питання</v>
      </c>
      <c r="F16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06" s="1" t="str">
        <f>"10"</f>
        <v>10</v>
      </c>
      <c r="H1606" s="1" t="str">
        <f>"Результат"</f>
        <v>Результат</v>
      </c>
      <c r="I1606" s="1" t="str">
        <f t="shared" si="280"/>
        <v>Позитивний</v>
      </c>
      <c r="J1606" s="1" t="str">
        <f>"Так"</f>
        <v>Так</v>
      </c>
    </row>
    <row r="1607" spans="1:10" ht="105" x14ac:dyDescent="0.25">
      <c r="A1607" s="1" t="str">
        <f>"1670-2020/27"</f>
        <v>1670-2020/27</v>
      </c>
      <c r="B1607" s="1" t="str">
        <f t="shared" si="282"/>
        <v>16.03.2020</v>
      </c>
      <c r="C1607" s="1" t="str">
        <f t="shared" si="279"/>
        <v>Закрито</v>
      </c>
      <c r="D160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07" s="1" t="str">
        <f t="shared" si="281"/>
        <v>Земельні питання</v>
      </c>
      <c r="F160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07" s="1" t="str">
        <f>"1"</f>
        <v>1</v>
      </c>
      <c r="H1607" s="1" t="str">
        <f>"Результат"</f>
        <v>Результат</v>
      </c>
      <c r="I1607" s="1" t="str">
        <f t="shared" si="280"/>
        <v>Позитивний</v>
      </c>
      <c r="J1607" s="1" t="str">
        <f>"Так"</f>
        <v>Так</v>
      </c>
    </row>
    <row r="1608" spans="1:10" ht="135" x14ac:dyDescent="0.25">
      <c r="A1608" s="1" t="str">
        <f>"1668-2020/27"</f>
        <v>1668-2020/27</v>
      </c>
      <c r="B1608" s="1" t="str">
        <f t="shared" si="282"/>
        <v>16.03.2020</v>
      </c>
      <c r="C1608" s="1" t="str">
        <f t="shared" si="279"/>
        <v>Закрито</v>
      </c>
      <c r="D160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608" s="1" t="str">
        <f t="shared" si="281"/>
        <v>Земельні питання</v>
      </c>
      <c r="F16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08" s="1" t="str">
        <f>"3"</f>
        <v>3</v>
      </c>
      <c r="H1608" s="1" t="str">
        <f>"Результат"</f>
        <v>Результат</v>
      </c>
      <c r="I1608" s="1" t="str">
        <f t="shared" si="280"/>
        <v>Позитивний</v>
      </c>
      <c r="J1608" s="1" t="str">
        <f>"Ні"</f>
        <v>Ні</v>
      </c>
    </row>
    <row r="1609" spans="1:10" ht="225" x14ac:dyDescent="0.25">
      <c r="A1609" s="1" t="str">
        <f>"1680-2020/27"</f>
        <v>1680-2020/27</v>
      </c>
      <c r="B1609" s="1" t="str">
        <f t="shared" si="282"/>
        <v>16.03.2020</v>
      </c>
      <c r="C1609" s="1" t="str">
        <f>"На обробці в адмін. органі"</f>
        <v>На обробці в адмін. органі</v>
      </c>
      <c r="D1609" s="1" t="s">
        <v>0</v>
      </c>
      <c r="E1609" s="1" t="str">
        <f>"Будівництво"</f>
        <v>Будівництво</v>
      </c>
      <c r="F160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609" s="1" t="str">
        <f>"10"</f>
        <v>10</v>
      </c>
      <c r="H1609" s="1" t="str">
        <f>""</f>
        <v/>
      </c>
      <c r="I1609" s="1" t="str">
        <f>""</f>
        <v/>
      </c>
      <c r="J1609" s="1" t="str">
        <f>"Ні"</f>
        <v>Ні</v>
      </c>
    </row>
    <row r="1610" spans="1:10" ht="135" x14ac:dyDescent="0.25">
      <c r="A1610" s="1" t="str">
        <f>"1678-2020/27"</f>
        <v>1678-2020/27</v>
      </c>
      <c r="B1610" s="1" t="str">
        <f t="shared" si="282"/>
        <v>16.03.2020</v>
      </c>
      <c r="C1610" s="1" t="str">
        <f>"Закрито"</f>
        <v>Закрито</v>
      </c>
      <c r="D161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610" s="1" t="str">
        <f>"Земельні питання"</f>
        <v>Земельні питання</v>
      </c>
      <c r="F16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10" s="1" t="str">
        <f>"3"</f>
        <v>3</v>
      </c>
      <c r="H1610" s="1" t="str">
        <f>"Результат"</f>
        <v>Результат</v>
      </c>
      <c r="I1610" s="1" t="str">
        <f>"Позитивний"</f>
        <v>Позитивний</v>
      </c>
      <c r="J1610" s="1" t="str">
        <f>"Ні"</f>
        <v>Ні</v>
      </c>
    </row>
    <row r="1611" spans="1:10" ht="105" x14ac:dyDescent="0.25">
      <c r="A1611" s="1" t="str">
        <f>"1683-2020/27"</f>
        <v>1683-2020/27</v>
      </c>
      <c r="B1611" s="1" t="str">
        <f t="shared" si="282"/>
        <v>16.03.2020</v>
      </c>
      <c r="C1611" s="1" t="str">
        <f>"Закрито"</f>
        <v>Закрито</v>
      </c>
      <c r="D161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11" s="1" t="str">
        <f>"Земельні питання"</f>
        <v>Земельні питання</v>
      </c>
      <c r="F161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11" s="1" t="str">
        <f>"1"</f>
        <v>1</v>
      </c>
      <c r="H1611" s="1" t="str">
        <f>"Результат"</f>
        <v>Результат</v>
      </c>
      <c r="I1611" s="1" t="str">
        <f>"Позитивний"</f>
        <v>Позитивний</v>
      </c>
      <c r="J1611" s="1" t="str">
        <f>"Так"</f>
        <v>Так</v>
      </c>
    </row>
    <row r="1612" spans="1:10" ht="90" x14ac:dyDescent="0.25">
      <c r="A1612" s="1" t="str">
        <f>"1664-2020/27"</f>
        <v>1664-2020/27</v>
      </c>
      <c r="B1612" s="1" t="str">
        <f t="shared" si="282"/>
        <v>16.03.2020</v>
      </c>
      <c r="C1612" s="1" t="str">
        <f>"Закрито"</f>
        <v>Закрито</v>
      </c>
      <c r="D161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12" s="1" t="str">
        <f>"Інші послуги"</f>
        <v>Інші послуги</v>
      </c>
      <c r="F161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12" s="1" t="str">
        <f>"5"</f>
        <v>5</v>
      </c>
      <c r="H1612" s="1" t="str">
        <f>"Результат"</f>
        <v>Результат</v>
      </c>
      <c r="I1612" s="1" t="str">
        <f>"Позитивний"</f>
        <v>Позитивний</v>
      </c>
      <c r="J1612" s="1" t="str">
        <f>"Ні"</f>
        <v>Ні</v>
      </c>
    </row>
    <row r="1613" spans="1:10" ht="225" x14ac:dyDescent="0.25">
      <c r="A1613" s="1" t="str">
        <f>"1679-2020/27"</f>
        <v>1679-2020/27</v>
      </c>
      <c r="B1613" s="1" t="str">
        <f t="shared" si="282"/>
        <v>16.03.2020</v>
      </c>
      <c r="C1613" s="1" t="str">
        <f>"Закрито"</f>
        <v>Закрито</v>
      </c>
      <c r="D1613" s="1" t="s">
        <v>0</v>
      </c>
      <c r="E1613" s="1" t="str">
        <f>"Будівництво"</f>
        <v>Будівництво</v>
      </c>
      <c r="F161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613" s="1" t="str">
        <f>"10"</f>
        <v>10</v>
      </c>
      <c r="H1613" s="1" t="str">
        <f>"Результат"</f>
        <v>Результат</v>
      </c>
      <c r="I1613" s="1" t="str">
        <f>"Позитивний"</f>
        <v>Позитивний</v>
      </c>
      <c r="J1613" s="1" t="str">
        <f>"Ні"</f>
        <v>Ні</v>
      </c>
    </row>
    <row r="1614" spans="1:10" ht="45" x14ac:dyDescent="0.25">
      <c r="A1614" s="1" t="str">
        <f>"1667-2020/27"</f>
        <v>1667-2020/27</v>
      </c>
      <c r="B1614" s="1" t="str">
        <f t="shared" si="282"/>
        <v>16.03.2020</v>
      </c>
      <c r="C1614" s="1" t="str">
        <f t="shared" ref="C1614:C1633" si="283">"Закрито"</f>
        <v>Закрито</v>
      </c>
      <c r="D1614" s="1" t="str">
        <f>"Реєстрація місця проживання особи"</f>
        <v>Реєстрація місця проживання особи</v>
      </c>
      <c r="E1614" s="1" t="str">
        <f>"Реєстрація місця проживання"</f>
        <v>Реєстрація місця проживання</v>
      </c>
      <c r="F1614" s="1" t="str">
        <f>"Відділ реєстрації Новокаховської міської ради"</f>
        <v>Відділ реєстрації Новокаховської міської ради</v>
      </c>
      <c r="G1614" s="1" t="str">
        <f>"1"</f>
        <v>1</v>
      </c>
      <c r="H1614" s="1" t="str">
        <f>"Результат"</f>
        <v>Результат</v>
      </c>
      <c r="I1614" s="1" t="str">
        <f>"Позитивний"</f>
        <v>Позитивний</v>
      </c>
      <c r="J1614" s="1" t="str">
        <f>"Так"</f>
        <v>Так</v>
      </c>
    </row>
    <row r="1615" spans="1:10" ht="90" x14ac:dyDescent="0.25">
      <c r="A1615" s="1" t="str">
        <f>"1660-2020/27"</f>
        <v>1660-2020/27</v>
      </c>
      <c r="B1615" s="1" t="str">
        <f t="shared" si="282"/>
        <v>16.03.2020</v>
      </c>
      <c r="C1615" s="1" t="str">
        <f t="shared" si="283"/>
        <v>Закрито</v>
      </c>
      <c r="D161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15" s="1" t="str">
        <f>"Інші послуги"</f>
        <v>Інші послуги</v>
      </c>
      <c r="F161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15" s="1" t="str">
        <f>"5"</f>
        <v>5</v>
      </c>
      <c r="H1615" s="1" t="str">
        <f>"Результат"</f>
        <v>Результат</v>
      </c>
      <c r="I1615" s="1" t="str">
        <f>"Мотивована відмова"</f>
        <v>Мотивована відмова</v>
      </c>
      <c r="J1615" s="1" t="str">
        <f>"Ні"</f>
        <v>Ні</v>
      </c>
    </row>
    <row r="1616" spans="1:10" ht="135" x14ac:dyDescent="0.25">
      <c r="A1616" s="1" t="str">
        <f>"1669-2020/27"</f>
        <v>1669-2020/27</v>
      </c>
      <c r="B1616" s="1" t="str">
        <f t="shared" si="282"/>
        <v>16.03.2020</v>
      </c>
      <c r="C1616" s="1" t="str">
        <f t="shared" si="283"/>
        <v>Закрито</v>
      </c>
      <c r="D161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16" s="1" t="str">
        <f>"Земельні питання"</f>
        <v>Земельні питання</v>
      </c>
      <c r="F16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16" s="1" t="str">
        <f t="shared" ref="G1616:G1621" si="284">"1"</f>
        <v>1</v>
      </c>
      <c r="H1616" s="1" t="str">
        <f>"Результат"</f>
        <v>Результат</v>
      </c>
      <c r="I1616" s="1" t="str">
        <f t="shared" ref="I1616:I1621" si="285">"Позитивний"</f>
        <v>Позитивний</v>
      </c>
      <c r="J1616" s="1" t="str">
        <f t="shared" ref="J1616:J1621" si="286">"Так"</f>
        <v>Так</v>
      </c>
    </row>
    <row r="1617" spans="1:10" ht="45" x14ac:dyDescent="0.25">
      <c r="A1617" s="1" t="str">
        <f>"1666-2020/27"</f>
        <v>1666-2020/27</v>
      </c>
      <c r="B1617" s="1" t="str">
        <f t="shared" si="282"/>
        <v>16.03.2020</v>
      </c>
      <c r="C1617" s="1" t="str">
        <f t="shared" si="283"/>
        <v>Закрито</v>
      </c>
      <c r="D1617" s="1" t="str">
        <f>"Реєстрація місця проживання особи"</f>
        <v>Реєстрація місця проживання особи</v>
      </c>
      <c r="E1617" s="1" t="str">
        <f>"Реєстрація місця проживання"</f>
        <v>Реєстрація місця проживання</v>
      </c>
      <c r="F1617" s="1" t="str">
        <f>"Відділ реєстрації Новокаховської міської ради"</f>
        <v>Відділ реєстрації Новокаховської міської ради</v>
      </c>
      <c r="G1617" s="1" t="str">
        <f t="shared" si="284"/>
        <v>1</v>
      </c>
      <c r="H1617" s="1" t="str">
        <f>"Результат"</f>
        <v>Результат</v>
      </c>
      <c r="I1617" s="1" t="str">
        <f t="shared" si="285"/>
        <v>Позитивний</v>
      </c>
      <c r="J1617" s="1" t="str">
        <f t="shared" si="286"/>
        <v>Так</v>
      </c>
    </row>
    <row r="1618" spans="1:10" ht="45" x14ac:dyDescent="0.25">
      <c r="A1618" s="1" t="str">
        <f>"1681-2020/27"</f>
        <v>1681-2020/27</v>
      </c>
      <c r="B1618" s="1" t="str">
        <f t="shared" si="282"/>
        <v>16.03.2020</v>
      </c>
      <c r="C1618" s="1" t="str">
        <f t="shared" si="283"/>
        <v>Закрито</v>
      </c>
      <c r="D1618" s="1" t="str">
        <f>"Зняття з реєстрації місця проживання"</f>
        <v>Зняття з реєстрації місця проживання</v>
      </c>
      <c r="E1618" s="1" t="str">
        <f>"Реєстрація місця проживання"</f>
        <v>Реєстрація місця проживання</v>
      </c>
      <c r="F1618" s="1" t="str">
        <f>"Відділ реєстрації Новокаховської міської ради"</f>
        <v>Відділ реєстрації Новокаховської міської ради</v>
      </c>
      <c r="G1618" s="1" t="str">
        <f t="shared" si="284"/>
        <v>1</v>
      </c>
      <c r="H1618" s="1" t="str">
        <f>"Результат"</f>
        <v>Результат</v>
      </c>
      <c r="I1618" s="1" t="str">
        <f t="shared" si="285"/>
        <v>Позитивний</v>
      </c>
      <c r="J1618" s="1" t="str">
        <f t="shared" si="286"/>
        <v>Так</v>
      </c>
    </row>
    <row r="1619" spans="1:10" ht="105" x14ac:dyDescent="0.25">
      <c r="A1619" s="1" t="str">
        <f>"1682-2020/27"</f>
        <v>1682-2020/27</v>
      </c>
      <c r="B1619" s="1" t="str">
        <f t="shared" si="282"/>
        <v>16.03.2020</v>
      </c>
      <c r="C1619" s="1" t="str">
        <f t="shared" si="283"/>
        <v>Закрито</v>
      </c>
      <c r="D161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19" s="1" t="str">
        <f>"Земельні питання"</f>
        <v>Земельні питання</v>
      </c>
      <c r="F161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19" s="1" t="str">
        <f t="shared" si="284"/>
        <v>1</v>
      </c>
      <c r="H1619" s="1" t="str">
        <f>"Результат"</f>
        <v>Результат</v>
      </c>
      <c r="I1619" s="1" t="str">
        <f t="shared" si="285"/>
        <v>Позитивний</v>
      </c>
      <c r="J1619" s="1" t="str">
        <f t="shared" si="286"/>
        <v>Так</v>
      </c>
    </row>
    <row r="1620" spans="1:10" ht="45" x14ac:dyDescent="0.25">
      <c r="A1620" s="1" t="str">
        <f>"1665-2020/27"</f>
        <v>1665-2020/27</v>
      </c>
      <c r="B1620" s="1" t="str">
        <f t="shared" si="282"/>
        <v>16.03.2020</v>
      </c>
      <c r="C1620" s="1" t="str">
        <f t="shared" si="283"/>
        <v>Закрито</v>
      </c>
      <c r="D1620" s="1" t="str">
        <f>"Реєстрація місця проживання особи"</f>
        <v>Реєстрація місця проживання особи</v>
      </c>
      <c r="E1620" s="1" t="str">
        <f>"Реєстрація місця проживання"</f>
        <v>Реєстрація місця проживання</v>
      </c>
      <c r="F1620" s="1" t="str">
        <f>"Відділ реєстрації Новокаховської міської ради"</f>
        <v>Відділ реєстрації Новокаховської міської ради</v>
      </c>
      <c r="G1620" s="1" t="str">
        <f t="shared" si="284"/>
        <v>1</v>
      </c>
      <c r="H1620" s="1" t="str">
        <f>"Результат"</f>
        <v>Результат</v>
      </c>
      <c r="I1620" s="1" t="str">
        <f t="shared" si="285"/>
        <v>Позитивний</v>
      </c>
      <c r="J1620" s="1" t="str">
        <f t="shared" si="286"/>
        <v>Так</v>
      </c>
    </row>
    <row r="1621" spans="1:10" ht="45" x14ac:dyDescent="0.25">
      <c r="A1621" s="1" t="str">
        <f>"1675-2020/27"</f>
        <v>1675-2020/27</v>
      </c>
      <c r="B1621" s="1" t="str">
        <f t="shared" si="282"/>
        <v>16.03.2020</v>
      </c>
      <c r="C1621" s="1" t="str">
        <f t="shared" si="283"/>
        <v>Закрито</v>
      </c>
      <c r="D1621" s="1" t="str">
        <f>"Реєстрація місця проживання особи"</f>
        <v>Реєстрація місця проживання особи</v>
      </c>
      <c r="E1621" s="1" t="str">
        <f>"Реєстрація місця проживання"</f>
        <v>Реєстрація місця проживання</v>
      </c>
      <c r="F1621" s="1" t="str">
        <f>"Відділ реєстрації Новокаховської міської ради"</f>
        <v>Відділ реєстрації Новокаховської міської ради</v>
      </c>
      <c r="G1621" s="1" t="str">
        <f t="shared" si="284"/>
        <v>1</v>
      </c>
      <c r="H1621" s="1" t="str">
        <f>"Результат"</f>
        <v>Результат</v>
      </c>
      <c r="I1621" s="1" t="str">
        <f t="shared" si="285"/>
        <v>Позитивний</v>
      </c>
      <c r="J1621" s="1" t="str">
        <f t="shared" si="286"/>
        <v>Так</v>
      </c>
    </row>
    <row r="1622" spans="1:10" ht="90" x14ac:dyDescent="0.25">
      <c r="A1622" s="1" t="str">
        <f>"1661-2020/27"</f>
        <v>1661-2020/27</v>
      </c>
      <c r="B1622" s="1" t="str">
        <f t="shared" si="282"/>
        <v>16.03.2020</v>
      </c>
      <c r="C1622" s="1" t="str">
        <f t="shared" si="283"/>
        <v>Закрито</v>
      </c>
      <c r="D162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22" s="1" t="str">
        <f>"Інші послуги"</f>
        <v>Інші послуги</v>
      </c>
      <c r="F162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22" s="1" t="str">
        <f>"5"</f>
        <v>5</v>
      </c>
      <c r="H1622" s="1" t="str">
        <f>"Результат"</f>
        <v>Результат</v>
      </c>
      <c r="I1622" s="1" t="str">
        <f>"Мотивована відмова"</f>
        <v>Мотивована відмова</v>
      </c>
      <c r="J1622" s="1" t="str">
        <f>"Ні"</f>
        <v>Ні</v>
      </c>
    </row>
    <row r="1623" spans="1:10" ht="135" x14ac:dyDescent="0.25">
      <c r="A1623" s="1" t="str">
        <f>"1671-2020/27"</f>
        <v>1671-2020/27</v>
      </c>
      <c r="B1623" s="1" t="str">
        <f t="shared" si="282"/>
        <v>16.03.2020</v>
      </c>
      <c r="C1623" s="1" t="str">
        <f t="shared" si="283"/>
        <v>Закрито</v>
      </c>
      <c r="D16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23" s="1" t="str">
        <f>"Земельні питання"</f>
        <v>Земельні питання</v>
      </c>
      <c r="F16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23" s="1" t="str">
        <f>"1"</f>
        <v>1</v>
      </c>
      <c r="H1623" s="1" t="str">
        <f>"Результат"</f>
        <v>Результат</v>
      </c>
      <c r="I1623" s="1" t="str">
        <f t="shared" ref="I1623:I1633" si="287">"Позитивний"</f>
        <v>Позитивний</v>
      </c>
      <c r="J1623" s="1" t="str">
        <f>"Так"</f>
        <v>Так</v>
      </c>
    </row>
    <row r="1624" spans="1:10" ht="45" x14ac:dyDescent="0.25">
      <c r="A1624" s="1" t="str">
        <f>"1662-2020/27"</f>
        <v>1662-2020/27</v>
      </c>
      <c r="B1624" s="1" t="str">
        <f t="shared" si="282"/>
        <v>16.03.2020</v>
      </c>
      <c r="C1624" s="1" t="str">
        <f t="shared" si="283"/>
        <v>Закрито</v>
      </c>
      <c r="D1624" s="1" t="str">
        <f>"Зняття з реєстрації місця проживання"</f>
        <v>Зняття з реєстрації місця проживання</v>
      </c>
      <c r="E1624" s="1" t="str">
        <f>"Реєстрація місця проживання"</f>
        <v>Реєстрація місця проживання</v>
      </c>
      <c r="F1624" s="1" t="str">
        <f>"Відділ реєстрації Новокаховської міської ради"</f>
        <v>Відділ реєстрації Новокаховської міської ради</v>
      </c>
      <c r="G1624" s="1" t="str">
        <f>"1"</f>
        <v>1</v>
      </c>
      <c r="H1624" s="1" t="str">
        <f>"Результат"</f>
        <v>Результат</v>
      </c>
      <c r="I1624" s="1" t="str">
        <f t="shared" si="287"/>
        <v>Позитивний</v>
      </c>
      <c r="J1624" s="1" t="str">
        <f>"Так"</f>
        <v>Так</v>
      </c>
    </row>
    <row r="1625" spans="1:10" ht="105" x14ac:dyDescent="0.25">
      <c r="A1625" s="1" t="str">
        <f>"1676-2020/27"</f>
        <v>1676-2020/27</v>
      </c>
      <c r="B1625" s="1" t="str">
        <f t="shared" si="282"/>
        <v>16.03.2020</v>
      </c>
      <c r="C1625" s="1" t="str">
        <f t="shared" si="283"/>
        <v>Закрито</v>
      </c>
      <c r="D162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25" s="1" t="str">
        <f>"Земельні питання"</f>
        <v>Земельні питання</v>
      </c>
      <c r="F162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25" s="1" t="str">
        <f>"1"</f>
        <v>1</v>
      </c>
      <c r="H1625" s="1" t="str">
        <f>"Результат"</f>
        <v>Результат</v>
      </c>
      <c r="I1625" s="1" t="str">
        <f t="shared" si="287"/>
        <v>Позитивний</v>
      </c>
      <c r="J1625" s="1" t="str">
        <f>"Так"</f>
        <v>Так</v>
      </c>
    </row>
    <row r="1626" spans="1:10" ht="105" x14ac:dyDescent="0.25">
      <c r="A1626" s="1" t="str">
        <f>"1684-2020/27"</f>
        <v>1684-2020/27</v>
      </c>
      <c r="B1626" s="1" t="str">
        <f t="shared" si="282"/>
        <v>16.03.2020</v>
      </c>
      <c r="C1626" s="1" t="str">
        <f t="shared" si="283"/>
        <v>Закрито</v>
      </c>
      <c r="D16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26" s="1" t="str">
        <f>"Земельні питання"</f>
        <v>Земельні питання</v>
      </c>
      <c r="F162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26" s="1" t="str">
        <f>"1"</f>
        <v>1</v>
      </c>
      <c r="H1626" s="1" t="str">
        <f>"Результат"</f>
        <v>Результат</v>
      </c>
      <c r="I1626" s="1" t="str">
        <f t="shared" si="287"/>
        <v>Позитивний</v>
      </c>
      <c r="J1626" s="1" t="str">
        <f>"Ні"</f>
        <v>Ні</v>
      </c>
    </row>
    <row r="1627" spans="1:10" ht="105" x14ac:dyDescent="0.25">
      <c r="A1627" s="1" t="str">
        <f>"1677-2020/27"</f>
        <v>1677-2020/27</v>
      </c>
      <c r="B1627" s="1" t="str">
        <f t="shared" si="282"/>
        <v>16.03.2020</v>
      </c>
      <c r="C1627" s="1" t="str">
        <f t="shared" si="283"/>
        <v>Закрито</v>
      </c>
      <c r="D162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27" s="1" t="str">
        <f>"Земельні питання"</f>
        <v>Земельні питання</v>
      </c>
      <c r="F162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27" s="1" t="str">
        <f>"1"</f>
        <v>1</v>
      </c>
      <c r="H1627" s="1" t="str">
        <f>"Результат"</f>
        <v>Результат</v>
      </c>
      <c r="I1627" s="1" t="str">
        <f t="shared" si="287"/>
        <v>Позитивний</v>
      </c>
      <c r="J1627" s="1" t="str">
        <f>"Так"</f>
        <v>Так</v>
      </c>
    </row>
    <row r="1628" spans="1:10" ht="135" x14ac:dyDescent="0.25">
      <c r="A1628" s="1" t="str">
        <f>"1672-2020/27"</f>
        <v>1672-2020/27</v>
      </c>
      <c r="B1628" s="1" t="str">
        <f t="shared" si="282"/>
        <v>16.03.2020</v>
      </c>
      <c r="C1628" s="1" t="str">
        <f t="shared" si="283"/>
        <v>Закрито</v>
      </c>
      <c r="D162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628" s="1" t="str">
        <f>"Земельні питання"</f>
        <v>Земельні питання</v>
      </c>
      <c r="F16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28" s="1" t="str">
        <f>"14"</f>
        <v>14</v>
      </c>
      <c r="H1628" s="1" t="str">
        <f>"Результат"</f>
        <v>Результат</v>
      </c>
      <c r="I1628" s="1" t="str">
        <f t="shared" si="287"/>
        <v>Позитивний</v>
      </c>
      <c r="J1628" s="1" t="str">
        <f>"Ні"</f>
        <v>Ні</v>
      </c>
    </row>
    <row r="1629" spans="1:10" ht="45" x14ac:dyDescent="0.25">
      <c r="A1629" s="1" t="str">
        <f>"1674-2020/27"</f>
        <v>1674-2020/27</v>
      </c>
      <c r="B1629" s="1" t="str">
        <f t="shared" si="282"/>
        <v>16.03.2020</v>
      </c>
      <c r="C1629" s="1" t="str">
        <f t="shared" si="283"/>
        <v>Закрито</v>
      </c>
      <c r="D1629" s="1" t="str">
        <f>"Зняття з реєстрації місця проживання"</f>
        <v>Зняття з реєстрації місця проживання</v>
      </c>
      <c r="E1629" s="1" t="str">
        <f>"Реєстрація місця проживання"</f>
        <v>Реєстрація місця проживання</v>
      </c>
      <c r="F1629" s="1" t="str">
        <f>"Відділ реєстрації Новокаховської міської ради"</f>
        <v>Відділ реєстрації Новокаховської міської ради</v>
      </c>
      <c r="G1629" s="1" t="str">
        <f>"1"</f>
        <v>1</v>
      </c>
      <c r="H1629" s="1" t="str">
        <f>"Результат"</f>
        <v>Результат</v>
      </c>
      <c r="I1629" s="1" t="str">
        <f t="shared" si="287"/>
        <v>Позитивний</v>
      </c>
      <c r="J1629" s="1" t="str">
        <f>"Так"</f>
        <v>Так</v>
      </c>
    </row>
    <row r="1630" spans="1:10" ht="90" x14ac:dyDescent="0.25">
      <c r="A1630" s="1" t="str">
        <f>"1709-2020/27"</f>
        <v>1709-2020/27</v>
      </c>
      <c r="B1630" s="1" t="str">
        <f t="shared" ref="B1630:B1660" si="288">"17.03.2020"</f>
        <v>17.03.2020</v>
      </c>
      <c r="C1630" s="1" t="str">
        <f t="shared" si="283"/>
        <v>Закрито</v>
      </c>
      <c r="D163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30" s="1" t="str">
        <f>"Інші послуги"</f>
        <v>Інші послуги</v>
      </c>
      <c r="F163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30" s="1" t="str">
        <f>"5"</f>
        <v>5</v>
      </c>
      <c r="H1630" s="1" t="str">
        <f>"Результат"</f>
        <v>Результат</v>
      </c>
      <c r="I1630" s="1" t="str">
        <f t="shared" si="287"/>
        <v>Позитивний</v>
      </c>
      <c r="J1630" s="1" t="str">
        <f>"Ні"</f>
        <v>Ні</v>
      </c>
    </row>
    <row r="1631" spans="1:10" ht="45" x14ac:dyDescent="0.25">
      <c r="A1631" s="1" t="str">
        <f>"1702-2020/27"</f>
        <v>1702-2020/27</v>
      </c>
      <c r="B1631" s="1" t="str">
        <f t="shared" si="288"/>
        <v>17.03.2020</v>
      </c>
      <c r="C1631" s="1" t="str">
        <f t="shared" si="283"/>
        <v>Закрито</v>
      </c>
      <c r="D1631" s="1" t="str">
        <f>"Зняття з реєстрації місця проживання"</f>
        <v>Зняття з реєстрації місця проживання</v>
      </c>
      <c r="E1631" s="1" t="str">
        <f>"Реєстрація місця проживання"</f>
        <v>Реєстрація місця проживання</v>
      </c>
      <c r="F1631" s="1" t="str">
        <f>"Відділ реєстрації Новокаховської міської ради"</f>
        <v>Відділ реєстрації Новокаховської міської ради</v>
      </c>
      <c r="G1631" s="1" t="str">
        <f>"1"</f>
        <v>1</v>
      </c>
      <c r="H1631" s="1" t="str">
        <f>"Результат"</f>
        <v>Результат</v>
      </c>
      <c r="I1631" s="1" t="str">
        <f t="shared" si="287"/>
        <v>Позитивний</v>
      </c>
      <c r="J1631" s="1" t="str">
        <f>"Так"</f>
        <v>Так</v>
      </c>
    </row>
    <row r="1632" spans="1:10" ht="135" x14ac:dyDescent="0.25">
      <c r="A1632" s="1" t="str">
        <f>"1699-2020/27"</f>
        <v>1699-2020/27</v>
      </c>
      <c r="B1632" s="1" t="str">
        <f t="shared" si="288"/>
        <v>17.03.2020</v>
      </c>
      <c r="C1632" s="1" t="str">
        <f t="shared" si="283"/>
        <v>Закрито</v>
      </c>
      <c r="D163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632" s="1" t="str">
        <f>"Земельні питання"</f>
        <v>Земельні питання</v>
      </c>
      <c r="F16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32" s="1" t="str">
        <f>"3"</f>
        <v>3</v>
      </c>
      <c r="H1632" s="1" t="str">
        <f>"Результат"</f>
        <v>Результат</v>
      </c>
      <c r="I1632" s="1" t="str">
        <f t="shared" si="287"/>
        <v>Позитивний</v>
      </c>
      <c r="J1632" s="1" t="str">
        <f>"Ні"</f>
        <v>Ні</v>
      </c>
    </row>
    <row r="1633" spans="1:10" ht="90" x14ac:dyDescent="0.25">
      <c r="A1633" s="1" t="str">
        <f>"1703-2020/27"</f>
        <v>1703-2020/27</v>
      </c>
      <c r="B1633" s="1" t="str">
        <f t="shared" si="288"/>
        <v>17.03.2020</v>
      </c>
      <c r="C1633" s="1" t="str">
        <f t="shared" si="283"/>
        <v>Закрито</v>
      </c>
      <c r="D163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33" s="1" t="str">
        <f>"Інші послуги"</f>
        <v>Інші послуги</v>
      </c>
      <c r="F163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33" s="1" t="str">
        <f>"5"</f>
        <v>5</v>
      </c>
      <c r="H1633" s="1" t="str">
        <f>"Результат"</f>
        <v>Результат</v>
      </c>
      <c r="I1633" s="1" t="str">
        <f t="shared" si="287"/>
        <v>Позитивний</v>
      </c>
      <c r="J1633" s="1" t="str">
        <f>"Ні"</f>
        <v>Ні</v>
      </c>
    </row>
    <row r="1634" spans="1:10" ht="225" x14ac:dyDescent="0.25">
      <c r="A1634" s="1" t="str">
        <f>"1700-2020/27"</f>
        <v>1700-2020/27</v>
      </c>
      <c r="B1634" s="1" t="str">
        <f t="shared" si="288"/>
        <v>17.03.2020</v>
      </c>
      <c r="C1634" s="1" t="str">
        <f>"На обробці в адмін. органі"</f>
        <v>На обробці в адмін. органі</v>
      </c>
      <c r="D1634" s="1" t="s">
        <v>1</v>
      </c>
      <c r="E1634" s="1" t="str">
        <f>"Будівництво"</f>
        <v>Будівництво</v>
      </c>
      <c r="F163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634" s="1" t="str">
        <f>"30"</f>
        <v>30</v>
      </c>
      <c r="H1634" s="1" t="str">
        <f>""</f>
        <v/>
      </c>
      <c r="I1634" s="1" t="str">
        <f>""</f>
        <v/>
      </c>
      <c r="J1634" s="1" t="str">
        <f>"Ні"</f>
        <v>Ні</v>
      </c>
    </row>
    <row r="1635" spans="1:10" ht="90" x14ac:dyDescent="0.25">
      <c r="A1635" s="1" t="str">
        <f>"1705-2020/27"</f>
        <v>1705-2020/27</v>
      </c>
      <c r="B1635" s="1" t="str">
        <f t="shared" si="288"/>
        <v>17.03.2020</v>
      </c>
      <c r="C1635" s="1" t="str">
        <f>"Закрито"</f>
        <v>Закрито</v>
      </c>
      <c r="D163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35" s="1" t="str">
        <f>"Інші послуги"</f>
        <v>Інші послуги</v>
      </c>
      <c r="F163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35" s="1" t="str">
        <f>"5"</f>
        <v>5</v>
      </c>
      <c r="H1635" s="1" t="str">
        <f>"Результат"</f>
        <v>Результат</v>
      </c>
      <c r="I1635" s="1" t="str">
        <f>"Позитивний"</f>
        <v>Позитивний</v>
      </c>
      <c r="J1635" s="1" t="str">
        <f>"Ні"</f>
        <v>Ні</v>
      </c>
    </row>
    <row r="1636" spans="1:10" ht="105" x14ac:dyDescent="0.25">
      <c r="A1636" s="1" t="str">
        <f>"1710-2020/27"</f>
        <v>1710-2020/27</v>
      </c>
      <c r="B1636" s="1" t="str">
        <f t="shared" si="288"/>
        <v>17.03.2020</v>
      </c>
      <c r="C1636" s="1" t="str">
        <f>"Закрито"</f>
        <v>Закрито</v>
      </c>
      <c r="D163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36" s="1" t="str">
        <f>"Земельні питання"</f>
        <v>Земельні питання</v>
      </c>
      <c r="F163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36" s="1" t="str">
        <f>"1"</f>
        <v>1</v>
      </c>
      <c r="H1636" s="1" t="str">
        <f>"Результат"</f>
        <v>Результат</v>
      </c>
      <c r="I1636" s="1" t="str">
        <f>"Позитивний"</f>
        <v>Позитивний</v>
      </c>
      <c r="J1636" s="1" t="str">
        <f>"Так"</f>
        <v>Так</v>
      </c>
    </row>
    <row r="1637" spans="1:10" ht="135" x14ac:dyDescent="0.25">
      <c r="A1637" s="1" t="str">
        <f>"1712-2020/27"</f>
        <v>1712-2020/27</v>
      </c>
      <c r="B1637" s="1" t="str">
        <f t="shared" si="288"/>
        <v>17.03.2020</v>
      </c>
      <c r="C1637" s="1" t="str">
        <f>"Закрито"</f>
        <v>Закрито</v>
      </c>
      <c r="D163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637" s="1" t="str">
        <f>"Земельні питання"</f>
        <v>Земельні питання</v>
      </c>
      <c r="F16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37" s="1" t="str">
        <f>"14"</f>
        <v>14</v>
      </c>
      <c r="H1637" s="1" t="str">
        <f>"Результат"</f>
        <v>Результат</v>
      </c>
      <c r="I1637" s="1" t="str">
        <f>"Позитивний"</f>
        <v>Позитивний</v>
      </c>
      <c r="J1637" s="1" t="str">
        <f>"Ні"</f>
        <v>Ні</v>
      </c>
    </row>
    <row r="1638" spans="1:10" ht="135" x14ac:dyDescent="0.25">
      <c r="A1638" s="1" t="str">
        <f>"1695-2020/27"</f>
        <v>1695-2020/27</v>
      </c>
      <c r="B1638" s="1" t="str">
        <f t="shared" si="288"/>
        <v>17.03.2020</v>
      </c>
      <c r="C1638" s="1" t="str">
        <f>"Закрито"</f>
        <v>Закрито</v>
      </c>
      <c r="D163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38" s="1" t="str">
        <f>"Земельні питання"</f>
        <v>Земельні питання</v>
      </c>
      <c r="F16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38" s="1" t="str">
        <f>"1"</f>
        <v>1</v>
      </c>
      <c r="H1638" s="1" t="str">
        <f>"Результат"</f>
        <v>Результат</v>
      </c>
      <c r="I1638" s="1" t="str">
        <f>"Позитивний"</f>
        <v>Позитивний</v>
      </c>
      <c r="J1638" s="1" t="str">
        <f>"Так"</f>
        <v>Так</v>
      </c>
    </row>
    <row r="1639" spans="1:10" ht="135" x14ac:dyDescent="0.25">
      <c r="A1639" s="1" t="str">
        <f>"1694-2020/27"</f>
        <v>1694-2020/27</v>
      </c>
      <c r="B1639" s="1" t="str">
        <f t="shared" si="288"/>
        <v>17.03.2020</v>
      </c>
      <c r="C1639" s="1" t="str">
        <f>"Закрито"</f>
        <v>Закрито</v>
      </c>
      <c r="D163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39" s="1" t="str">
        <f>"Земельні питання"</f>
        <v>Земельні питання</v>
      </c>
      <c r="F163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39" s="1" t="str">
        <f>"1"</f>
        <v>1</v>
      </c>
      <c r="H1639" s="1" t="str">
        <f>"Результат"</f>
        <v>Результат</v>
      </c>
      <c r="I1639" s="1" t="str">
        <f>"Позитивний"</f>
        <v>Позитивний</v>
      </c>
      <c r="J1639" s="1" t="str">
        <f>"Так"</f>
        <v>Так</v>
      </c>
    </row>
    <row r="1640" spans="1:10" ht="225" x14ac:dyDescent="0.25">
      <c r="A1640" s="1" t="str">
        <f>"1704-2020/27"</f>
        <v>1704-2020/27</v>
      </c>
      <c r="B1640" s="1" t="str">
        <f t="shared" si="288"/>
        <v>17.03.2020</v>
      </c>
      <c r="C1640" s="1" t="str">
        <f>"На обробці в адмін. органі"</f>
        <v>На обробці в адмін. органі</v>
      </c>
      <c r="D1640" s="1" t="s">
        <v>1</v>
      </c>
      <c r="E1640" s="1" t="str">
        <f>"Будівництво"</f>
        <v>Будівництво</v>
      </c>
      <c r="F164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640" s="1" t="str">
        <f>"30"</f>
        <v>30</v>
      </c>
      <c r="H1640" s="1" t="str">
        <f>""</f>
        <v/>
      </c>
      <c r="I1640" s="1" t="str">
        <f>""</f>
        <v/>
      </c>
      <c r="J1640" s="1" t="str">
        <f>"Ні"</f>
        <v>Ні</v>
      </c>
    </row>
    <row r="1641" spans="1:10" ht="135" x14ac:dyDescent="0.25">
      <c r="A1641" s="1" t="str">
        <f>"1692-2020/27"</f>
        <v>1692-2020/27</v>
      </c>
      <c r="B1641" s="1" t="str">
        <f t="shared" si="288"/>
        <v>17.03.2020</v>
      </c>
      <c r="C1641" s="1" t="str">
        <f t="shared" ref="C1641:C1672" si="289">"Закрито"</f>
        <v>Закрито</v>
      </c>
      <c r="D164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641" s="1" t="str">
        <f>"Земельні питання"</f>
        <v>Земельні питання</v>
      </c>
      <c r="F16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41" s="1" t="str">
        <f>"3"</f>
        <v>3</v>
      </c>
      <c r="H1641" s="1" t="str">
        <f>"Результат"</f>
        <v>Результат</v>
      </c>
      <c r="I1641" s="1" t="str">
        <f>"Позитивний"</f>
        <v>Позитивний</v>
      </c>
      <c r="J1641" s="1" t="str">
        <f>"Ні"</f>
        <v>Ні</v>
      </c>
    </row>
    <row r="1642" spans="1:10" ht="45" x14ac:dyDescent="0.25">
      <c r="A1642" s="1" t="str">
        <f>"1698-2020/27"</f>
        <v>1698-2020/27</v>
      </c>
      <c r="B1642" s="1" t="str">
        <f t="shared" si="288"/>
        <v>17.03.2020</v>
      </c>
      <c r="C1642" s="1" t="str">
        <f t="shared" si="289"/>
        <v>Закрито</v>
      </c>
      <c r="D1642" s="1" t="str">
        <f>"Зняття з реєстрації місця проживання"</f>
        <v>Зняття з реєстрації місця проживання</v>
      </c>
      <c r="E1642" s="1" t="str">
        <f>"Реєстрація місця проживання"</f>
        <v>Реєстрація місця проживання</v>
      </c>
      <c r="F1642" s="1" t="str">
        <f>"Відділ реєстрації Новокаховської міської ради"</f>
        <v>Відділ реєстрації Новокаховської міської ради</v>
      </c>
      <c r="G1642" s="1" t="str">
        <f>"1"</f>
        <v>1</v>
      </c>
      <c r="H1642" s="1" t="str">
        <f>"Результат"</f>
        <v>Результат</v>
      </c>
      <c r="I1642" s="1" t="str">
        <f>"Позитивний"</f>
        <v>Позитивний</v>
      </c>
      <c r="J1642" s="1" t="str">
        <f>"Так"</f>
        <v>Так</v>
      </c>
    </row>
    <row r="1643" spans="1:10" ht="135" x14ac:dyDescent="0.25">
      <c r="A1643" s="1" t="str">
        <f>"1685-2020/27"</f>
        <v>1685-2020/27</v>
      </c>
      <c r="B1643" s="1" t="str">
        <f t="shared" si="288"/>
        <v>17.03.2020</v>
      </c>
      <c r="C1643" s="1" t="str">
        <f t="shared" si="289"/>
        <v>Закрито</v>
      </c>
      <c r="D164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643" s="1" t="str">
        <f>"Земельні питання"</f>
        <v>Земельні питання</v>
      </c>
      <c r="F16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43" s="1" t="str">
        <f>"14"</f>
        <v>14</v>
      </c>
      <c r="H1643" s="1" t="str">
        <f>"Результат"</f>
        <v>Результат</v>
      </c>
      <c r="I1643" s="1" t="str">
        <f>"Позитивний"</f>
        <v>Позитивний</v>
      </c>
      <c r="J1643" s="1" t="str">
        <f>"Ні"</f>
        <v>Ні</v>
      </c>
    </row>
    <row r="1644" spans="1:10" ht="45" x14ac:dyDescent="0.25">
      <c r="A1644" s="1" t="str">
        <f>"1686-2020/27"</f>
        <v>1686-2020/27</v>
      </c>
      <c r="B1644" s="1" t="str">
        <f t="shared" si="288"/>
        <v>17.03.2020</v>
      </c>
      <c r="C1644" s="1" t="str">
        <f t="shared" si="289"/>
        <v>Закрито</v>
      </c>
      <c r="D1644" s="1" t="str">
        <f>"Зняття з реєстрації місця проживання"</f>
        <v>Зняття з реєстрації місця проживання</v>
      </c>
      <c r="E1644" s="1" t="str">
        <f>"Реєстрація місця проживання"</f>
        <v>Реєстрація місця проживання</v>
      </c>
      <c r="F1644" s="1" t="str">
        <f>"Відділ реєстрації Новокаховської міської ради"</f>
        <v>Відділ реєстрації Новокаховської міської ради</v>
      </c>
      <c r="G1644" s="1" t="str">
        <f t="shared" ref="G1644:G1649" si="290">"1"</f>
        <v>1</v>
      </c>
      <c r="H1644" s="1" t="str">
        <f>"Результат"</f>
        <v>Результат</v>
      </c>
      <c r="I1644" s="1" t="str">
        <f>"Мотивована відмова"</f>
        <v>Мотивована відмова</v>
      </c>
      <c r="J1644" s="1" t="str">
        <f t="shared" ref="J1644:J1649" si="291">"Так"</f>
        <v>Так</v>
      </c>
    </row>
    <row r="1645" spans="1:10" ht="135" x14ac:dyDescent="0.25">
      <c r="A1645" s="1" t="str">
        <f>"1690-2020/27"</f>
        <v>1690-2020/27</v>
      </c>
      <c r="B1645" s="1" t="str">
        <f t="shared" si="288"/>
        <v>17.03.2020</v>
      </c>
      <c r="C1645" s="1" t="str">
        <f t="shared" si="289"/>
        <v>Закрито</v>
      </c>
      <c r="D164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45" s="1" t="str">
        <f>"Земельні питання"</f>
        <v>Земельні питання</v>
      </c>
      <c r="F16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45" s="1" t="str">
        <f t="shared" si="290"/>
        <v>1</v>
      </c>
      <c r="H1645" s="1" t="str">
        <f>"Результат"</f>
        <v>Результат</v>
      </c>
      <c r="I1645" s="1" t="str">
        <f t="shared" ref="I1645:I1650" si="292">"Позитивний"</f>
        <v>Позитивний</v>
      </c>
      <c r="J1645" s="1" t="str">
        <f t="shared" si="291"/>
        <v>Так</v>
      </c>
    </row>
    <row r="1646" spans="1:10" ht="45" x14ac:dyDescent="0.25">
      <c r="A1646" s="1" t="str">
        <f>"1707-2020/27"</f>
        <v>1707-2020/27</v>
      </c>
      <c r="B1646" s="1" t="str">
        <f t="shared" si="288"/>
        <v>17.03.2020</v>
      </c>
      <c r="C1646" s="1" t="str">
        <f t="shared" si="289"/>
        <v>Закрито</v>
      </c>
      <c r="D1646" s="1" t="str">
        <f>"Зняття з реєстрації місця проживання"</f>
        <v>Зняття з реєстрації місця проживання</v>
      </c>
      <c r="E1646" s="1" t="str">
        <f>"Реєстрація місця проживання"</f>
        <v>Реєстрація місця проживання</v>
      </c>
      <c r="F1646" s="1" t="str">
        <f>"Відділ реєстрації Новокаховської міської ради"</f>
        <v>Відділ реєстрації Новокаховської міської ради</v>
      </c>
      <c r="G1646" s="1" t="str">
        <f t="shared" si="290"/>
        <v>1</v>
      </c>
      <c r="H1646" s="1" t="str">
        <f>"Результат"</f>
        <v>Результат</v>
      </c>
      <c r="I1646" s="1" t="str">
        <f t="shared" si="292"/>
        <v>Позитивний</v>
      </c>
      <c r="J1646" s="1" t="str">
        <f t="shared" si="291"/>
        <v>Так</v>
      </c>
    </row>
    <row r="1647" spans="1:10" ht="135" x14ac:dyDescent="0.25">
      <c r="A1647" s="1" t="str">
        <f>"1687-2020/27"</f>
        <v>1687-2020/27</v>
      </c>
      <c r="B1647" s="1" t="str">
        <f t="shared" si="288"/>
        <v>17.03.2020</v>
      </c>
      <c r="C1647" s="1" t="str">
        <f t="shared" si="289"/>
        <v>Закрито</v>
      </c>
      <c r="D164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47" s="1" t="str">
        <f>"Земельні питання"</f>
        <v>Земельні питання</v>
      </c>
      <c r="F16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47" s="1" t="str">
        <f t="shared" si="290"/>
        <v>1</v>
      </c>
      <c r="H1647" s="1" t="str">
        <f>"Результат"</f>
        <v>Результат</v>
      </c>
      <c r="I1647" s="1" t="str">
        <f t="shared" si="292"/>
        <v>Позитивний</v>
      </c>
      <c r="J1647" s="1" t="str">
        <f t="shared" si="291"/>
        <v>Так</v>
      </c>
    </row>
    <row r="1648" spans="1:10" ht="45" x14ac:dyDescent="0.25">
      <c r="A1648" s="1" t="str">
        <f>"1708-2020/27"</f>
        <v>1708-2020/27</v>
      </c>
      <c r="B1648" s="1" t="str">
        <f t="shared" si="288"/>
        <v>17.03.2020</v>
      </c>
      <c r="C1648" s="1" t="str">
        <f t="shared" si="289"/>
        <v>Закрито</v>
      </c>
      <c r="D1648" s="1" t="str">
        <f>"Зняття з реєстрації місця проживання"</f>
        <v>Зняття з реєстрації місця проживання</v>
      </c>
      <c r="E1648" s="1" t="str">
        <f>"Реєстрація місця проживання"</f>
        <v>Реєстрація місця проживання</v>
      </c>
      <c r="F1648" s="1" t="str">
        <f>"Відділ реєстрації Новокаховської міської ради"</f>
        <v>Відділ реєстрації Новокаховської міської ради</v>
      </c>
      <c r="G1648" s="1" t="str">
        <f t="shared" si="290"/>
        <v>1</v>
      </c>
      <c r="H1648" s="1" t="str">
        <f>"Результат"</f>
        <v>Результат</v>
      </c>
      <c r="I1648" s="1" t="str">
        <f t="shared" si="292"/>
        <v>Позитивний</v>
      </c>
      <c r="J1648" s="1" t="str">
        <f t="shared" si="291"/>
        <v>Так</v>
      </c>
    </row>
    <row r="1649" spans="1:10" ht="135" x14ac:dyDescent="0.25">
      <c r="A1649" s="1" t="str">
        <f>"1691-2020/27"</f>
        <v>1691-2020/27</v>
      </c>
      <c r="B1649" s="1" t="str">
        <f t="shared" si="288"/>
        <v>17.03.2020</v>
      </c>
      <c r="C1649" s="1" t="str">
        <f t="shared" si="289"/>
        <v>Закрито</v>
      </c>
      <c r="D16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49" s="1" t="str">
        <f>"Земельні питання"</f>
        <v>Земельні питання</v>
      </c>
      <c r="F16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49" s="1" t="str">
        <f t="shared" si="290"/>
        <v>1</v>
      </c>
      <c r="H1649" s="1" t="str">
        <f>"Результат"</f>
        <v>Результат</v>
      </c>
      <c r="I1649" s="1" t="str">
        <f t="shared" si="292"/>
        <v>Позитивний</v>
      </c>
      <c r="J1649" s="1" t="str">
        <f t="shared" si="291"/>
        <v>Так</v>
      </c>
    </row>
    <row r="1650" spans="1:10" ht="90" x14ac:dyDescent="0.25">
      <c r="A1650" s="1" t="str">
        <f>"1715-2020/27"</f>
        <v>1715-2020/27</v>
      </c>
      <c r="B1650" s="1" t="str">
        <f t="shared" si="288"/>
        <v>17.03.2020</v>
      </c>
      <c r="C1650" s="1" t="str">
        <f t="shared" si="289"/>
        <v>Закрито</v>
      </c>
      <c r="D165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50" s="1" t="str">
        <f>"Інші послуги"</f>
        <v>Інші послуги</v>
      </c>
      <c r="F165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50" s="1" t="str">
        <f>"5"</f>
        <v>5</v>
      </c>
      <c r="H1650" s="1" t="str">
        <f>"Результат"</f>
        <v>Результат</v>
      </c>
      <c r="I1650" s="1" t="str">
        <f t="shared" si="292"/>
        <v>Позитивний</v>
      </c>
      <c r="J1650" s="1" t="str">
        <f>"Ні"</f>
        <v>Ні</v>
      </c>
    </row>
    <row r="1651" spans="1:10" ht="45" x14ac:dyDescent="0.25">
      <c r="A1651" s="1" t="str">
        <f>"1701-2020/27"</f>
        <v>1701-2020/27</v>
      </c>
      <c r="B1651" s="1" t="str">
        <f t="shared" si="288"/>
        <v>17.03.2020</v>
      </c>
      <c r="C1651" s="1" t="str">
        <f t="shared" si="289"/>
        <v>Закрито</v>
      </c>
      <c r="D1651" s="1" t="str">
        <f>"Реєстрація місця проживання особи"</f>
        <v>Реєстрація місця проживання особи</v>
      </c>
      <c r="E1651" s="1" t="str">
        <f>"Реєстрація місця проживання"</f>
        <v>Реєстрація місця проживання</v>
      </c>
      <c r="F1651" s="1" t="str">
        <f>"Відділ реєстрації Новокаховської міської ради"</f>
        <v>Відділ реєстрації Новокаховської міської ради</v>
      </c>
      <c r="G1651" s="1" t="str">
        <f t="shared" ref="G1651:G1658" si="293">"1"</f>
        <v>1</v>
      </c>
      <c r="H1651" s="1" t="str">
        <f>"Результат"</f>
        <v>Результат</v>
      </c>
      <c r="I1651" s="1" t="str">
        <f>"Мотивована відмова"</f>
        <v>Мотивована відмова</v>
      </c>
      <c r="J1651" s="1" t="str">
        <f t="shared" ref="J1651:J1658" si="294">"Так"</f>
        <v>Так</v>
      </c>
    </row>
    <row r="1652" spans="1:10" ht="135" x14ac:dyDescent="0.25">
      <c r="A1652" s="1" t="str">
        <f>"1697-2020/27"</f>
        <v>1697-2020/27</v>
      </c>
      <c r="B1652" s="1" t="str">
        <f t="shared" si="288"/>
        <v>17.03.2020</v>
      </c>
      <c r="C1652" s="1" t="str">
        <f t="shared" si="289"/>
        <v>Закрито</v>
      </c>
      <c r="D16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52" s="1" t="str">
        <f>"Земельні питання"</f>
        <v>Земельні питання</v>
      </c>
      <c r="F16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52" s="1" t="str">
        <f t="shared" si="293"/>
        <v>1</v>
      </c>
      <c r="H1652" s="1" t="str">
        <f>"Результат"</f>
        <v>Результат</v>
      </c>
      <c r="I1652" s="1" t="str">
        <f t="shared" ref="I1652:I1683" si="295">"Позитивний"</f>
        <v>Позитивний</v>
      </c>
      <c r="J1652" s="1" t="str">
        <f t="shared" si="294"/>
        <v>Так</v>
      </c>
    </row>
    <row r="1653" spans="1:10" ht="135" x14ac:dyDescent="0.25">
      <c r="A1653" s="1" t="str">
        <f>"1693-2020/27"</f>
        <v>1693-2020/27</v>
      </c>
      <c r="B1653" s="1" t="str">
        <f t="shared" si="288"/>
        <v>17.03.2020</v>
      </c>
      <c r="C1653" s="1" t="str">
        <f t="shared" si="289"/>
        <v>Закрито</v>
      </c>
      <c r="D165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53" s="1" t="str">
        <f>"Земельні питання"</f>
        <v>Земельні питання</v>
      </c>
      <c r="F16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53" s="1" t="str">
        <f t="shared" si="293"/>
        <v>1</v>
      </c>
      <c r="H1653" s="1" t="str">
        <f>"Результат"</f>
        <v>Результат</v>
      </c>
      <c r="I1653" s="1" t="str">
        <f t="shared" si="295"/>
        <v>Позитивний</v>
      </c>
      <c r="J1653" s="1" t="str">
        <f t="shared" si="294"/>
        <v>Так</v>
      </c>
    </row>
    <row r="1654" spans="1:10" ht="135" x14ac:dyDescent="0.25">
      <c r="A1654" s="1" t="str">
        <f>"1688-2020/27"</f>
        <v>1688-2020/27</v>
      </c>
      <c r="B1654" s="1" t="str">
        <f t="shared" si="288"/>
        <v>17.03.2020</v>
      </c>
      <c r="C1654" s="1" t="str">
        <f t="shared" si="289"/>
        <v>Закрито</v>
      </c>
      <c r="D165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54" s="1" t="str">
        <f>"Земельні питання"</f>
        <v>Земельні питання</v>
      </c>
      <c r="F16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54" s="1" t="str">
        <f t="shared" si="293"/>
        <v>1</v>
      </c>
      <c r="H1654" s="1" t="str">
        <f>"Результат"</f>
        <v>Результат</v>
      </c>
      <c r="I1654" s="1" t="str">
        <f t="shared" si="295"/>
        <v>Позитивний</v>
      </c>
      <c r="J1654" s="1" t="str">
        <f t="shared" si="294"/>
        <v>Так</v>
      </c>
    </row>
    <row r="1655" spans="1:10" ht="135" x14ac:dyDescent="0.25">
      <c r="A1655" s="1" t="str">
        <f>"1689-2020/27"</f>
        <v>1689-2020/27</v>
      </c>
      <c r="B1655" s="1" t="str">
        <f t="shared" si="288"/>
        <v>17.03.2020</v>
      </c>
      <c r="C1655" s="1" t="str">
        <f t="shared" si="289"/>
        <v>Закрито</v>
      </c>
      <c r="D165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55" s="1" t="str">
        <f>"Земельні питання"</f>
        <v>Земельні питання</v>
      </c>
      <c r="F16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55" s="1" t="str">
        <f t="shared" si="293"/>
        <v>1</v>
      </c>
      <c r="H1655" s="1" t="str">
        <f>"Результат"</f>
        <v>Результат</v>
      </c>
      <c r="I1655" s="1" t="str">
        <f t="shared" si="295"/>
        <v>Позитивний</v>
      </c>
      <c r="J1655" s="1" t="str">
        <f t="shared" si="294"/>
        <v>Так</v>
      </c>
    </row>
    <row r="1656" spans="1:10" ht="45" x14ac:dyDescent="0.25">
      <c r="A1656" s="1" t="str">
        <f>"1713-2020/27"</f>
        <v>1713-2020/27</v>
      </c>
      <c r="B1656" s="1" t="str">
        <f t="shared" si="288"/>
        <v>17.03.2020</v>
      </c>
      <c r="C1656" s="1" t="str">
        <f t="shared" si="289"/>
        <v>Закрито</v>
      </c>
      <c r="D1656" s="1" t="str">
        <f>"Реєстрація місця проживання особи"</f>
        <v>Реєстрація місця проживання особи</v>
      </c>
      <c r="E1656" s="1" t="str">
        <f>"Реєстрація місця проживання"</f>
        <v>Реєстрація місця проживання</v>
      </c>
      <c r="F1656" s="1" t="str">
        <f>"Відділ реєстрації Новокаховської міської ради"</f>
        <v>Відділ реєстрації Новокаховської міської ради</v>
      </c>
      <c r="G1656" s="1" t="str">
        <f t="shared" si="293"/>
        <v>1</v>
      </c>
      <c r="H1656" s="1" t="str">
        <f>"Результат"</f>
        <v>Результат</v>
      </c>
      <c r="I1656" s="1" t="str">
        <f t="shared" si="295"/>
        <v>Позитивний</v>
      </c>
      <c r="J1656" s="1" t="str">
        <f t="shared" si="294"/>
        <v>Так</v>
      </c>
    </row>
    <row r="1657" spans="1:10" ht="45" x14ac:dyDescent="0.25">
      <c r="A1657" s="1" t="str">
        <f>"1711-2020/27"</f>
        <v>1711-2020/27</v>
      </c>
      <c r="B1657" s="1" t="str">
        <f t="shared" si="288"/>
        <v>17.03.2020</v>
      </c>
      <c r="C1657" s="1" t="str">
        <f t="shared" si="289"/>
        <v>Закрито</v>
      </c>
      <c r="D1657" s="1" t="str">
        <f>"Реєстрація місця проживання особи"</f>
        <v>Реєстрація місця проживання особи</v>
      </c>
      <c r="E1657" s="1" t="str">
        <f>"Реєстрація місця проживання"</f>
        <v>Реєстрація місця проживання</v>
      </c>
      <c r="F1657" s="1" t="str">
        <f>"Відділ реєстрації Новокаховської міської ради"</f>
        <v>Відділ реєстрації Новокаховської міської ради</v>
      </c>
      <c r="G1657" s="1" t="str">
        <f t="shared" si="293"/>
        <v>1</v>
      </c>
      <c r="H1657" s="1" t="str">
        <f>"Результат"</f>
        <v>Результат</v>
      </c>
      <c r="I1657" s="1" t="str">
        <f t="shared" si="295"/>
        <v>Позитивний</v>
      </c>
      <c r="J1657" s="1" t="str">
        <f t="shared" si="294"/>
        <v>Так</v>
      </c>
    </row>
    <row r="1658" spans="1:10" ht="135" x14ac:dyDescent="0.25">
      <c r="A1658" s="1" t="str">
        <f>"1696-2020/27"</f>
        <v>1696-2020/27</v>
      </c>
      <c r="B1658" s="1" t="str">
        <f t="shared" si="288"/>
        <v>17.03.2020</v>
      </c>
      <c r="C1658" s="1" t="str">
        <f t="shared" si="289"/>
        <v>Закрито</v>
      </c>
      <c r="D16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58" s="1" t="str">
        <f>"Земельні питання"</f>
        <v>Земельні питання</v>
      </c>
      <c r="F16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58" s="1" t="str">
        <f t="shared" si="293"/>
        <v>1</v>
      </c>
      <c r="H1658" s="1" t="str">
        <f>"Результат"</f>
        <v>Результат</v>
      </c>
      <c r="I1658" s="1" t="str">
        <f t="shared" si="295"/>
        <v>Позитивний</v>
      </c>
      <c r="J1658" s="1" t="str">
        <f t="shared" si="294"/>
        <v>Так</v>
      </c>
    </row>
    <row r="1659" spans="1:10" ht="90" x14ac:dyDescent="0.25">
      <c r="A1659" s="1" t="str">
        <f>"1706-2020/27"</f>
        <v>1706-2020/27</v>
      </c>
      <c r="B1659" s="1" t="str">
        <f t="shared" si="288"/>
        <v>17.03.2020</v>
      </c>
      <c r="C1659" s="1" t="str">
        <f t="shared" si="289"/>
        <v>Закрито</v>
      </c>
      <c r="D165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59" s="1" t="str">
        <f>"Інші послуги"</f>
        <v>Інші послуги</v>
      </c>
      <c r="F165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59" s="1" t="str">
        <f>"5"</f>
        <v>5</v>
      </c>
      <c r="H1659" s="1" t="str">
        <f>"Результат"</f>
        <v>Результат</v>
      </c>
      <c r="I1659" s="1" t="str">
        <f t="shared" si="295"/>
        <v>Позитивний</v>
      </c>
      <c r="J1659" s="1" t="str">
        <f>"Ні"</f>
        <v>Ні</v>
      </c>
    </row>
    <row r="1660" spans="1:10" ht="45" x14ac:dyDescent="0.25">
      <c r="A1660" s="1" t="str">
        <f>"1714-2020/27"</f>
        <v>1714-2020/27</v>
      </c>
      <c r="B1660" s="1" t="str">
        <f t="shared" si="288"/>
        <v>17.03.2020</v>
      </c>
      <c r="C1660" s="1" t="str">
        <f t="shared" si="289"/>
        <v>Закрито</v>
      </c>
      <c r="D1660" s="1" t="str">
        <f>"Реєстрація місця проживання особи"</f>
        <v>Реєстрація місця проживання особи</v>
      </c>
      <c r="E1660" s="1" t="str">
        <f>"Реєстрація місця проживання"</f>
        <v>Реєстрація місця проживання</v>
      </c>
      <c r="F1660" s="1" t="str">
        <f>"Відділ реєстрації Новокаховської міської ради"</f>
        <v>Відділ реєстрації Новокаховської міської ради</v>
      </c>
      <c r="G1660" s="1" t="str">
        <f t="shared" ref="G1660:G1666" si="296">"1"</f>
        <v>1</v>
      </c>
      <c r="H1660" s="1" t="str">
        <f>"Результат"</f>
        <v>Результат</v>
      </c>
      <c r="I1660" s="1" t="str">
        <f t="shared" si="295"/>
        <v>Позитивний</v>
      </c>
      <c r="J1660" s="1" t="str">
        <f t="shared" ref="J1660:J1666" si="297">"Так"</f>
        <v>Так</v>
      </c>
    </row>
    <row r="1661" spans="1:10" ht="45" x14ac:dyDescent="0.25">
      <c r="A1661" s="1" t="str">
        <f>"1718-2020/27"</f>
        <v>1718-2020/27</v>
      </c>
      <c r="B1661" s="1" t="str">
        <f t="shared" ref="B1661:B1672" si="298">"18.03.2020"</f>
        <v>18.03.2020</v>
      </c>
      <c r="C1661" s="1" t="str">
        <f t="shared" si="289"/>
        <v>Закрито</v>
      </c>
      <c r="D1661" s="1" t="str">
        <f>"Реєстрація місця проживання особи"</f>
        <v>Реєстрація місця проживання особи</v>
      </c>
      <c r="E1661" s="1" t="str">
        <f>"Реєстрація місця проживання"</f>
        <v>Реєстрація місця проживання</v>
      </c>
      <c r="F1661" s="1" t="str">
        <f>"Відділ реєстрації Новокаховської міської ради"</f>
        <v>Відділ реєстрації Новокаховської міської ради</v>
      </c>
      <c r="G1661" s="1" t="str">
        <f t="shared" si="296"/>
        <v>1</v>
      </c>
      <c r="H1661" s="1" t="str">
        <f>"Результат"</f>
        <v>Результат</v>
      </c>
      <c r="I1661" s="1" t="str">
        <f t="shared" si="295"/>
        <v>Позитивний</v>
      </c>
      <c r="J1661" s="1" t="str">
        <f t="shared" si="297"/>
        <v>Так</v>
      </c>
    </row>
    <row r="1662" spans="1:10" ht="105" x14ac:dyDescent="0.25">
      <c r="A1662" s="1" t="str">
        <f>"1719-2020/27"</f>
        <v>1719-2020/27</v>
      </c>
      <c r="B1662" s="1" t="str">
        <f t="shared" si="298"/>
        <v>18.03.2020</v>
      </c>
      <c r="C1662" s="1" t="str">
        <f t="shared" si="289"/>
        <v>Закрито</v>
      </c>
      <c r="D166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62" s="1" t="str">
        <f>"Земельні питання"</f>
        <v>Земельні питання</v>
      </c>
      <c r="F166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62" s="1" t="str">
        <f t="shared" si="296"/>
        <v>1</v>
      </c>
      <c r="H1662" s="1" t="str">
        <f>"Результат"</f>
        <v>Результат</v>
      </c>
      <c r="I1662" s="1" t="str">
        <f t="shared" si="295"/>
        <v>Позитивний</v>
      </c>
      <c r="J1662" s="1" t="str">
        <f t="shared" si="297"/>
        <v>Так</v>
      </c>
    </row>
    <row r="1663" spans="1:10" ht="45" x14ac:dyDescent="0.25">
      <c r="A1663" s="1" t="str">
        <f>"1722-2020/27"</f>
        <v>1722-2020/27</v>
      </c>
      <c r="B1663" s="1" t="str">
        <f t="shared" si="298"/>
        <v>18.03.2020</v>
      </c>
      <c r="C1663" s="1" t="str">
        <f t="shared" si="289"/>
        <v>Закрито</v>
      </c>
      <c r="D1663" s="1" t="str">
        <f>"Реєстрація місця проживання особи"</f>
        <v>Реєстрація місця проживання особи</v>
      </c>
      <c r="E1663" s="1" t="str">
        <f>"Реєстрація місця проживання"</f>
        <v>Реєстрація місця проживання</v>
      </c>
      <c r="F1663" s="1" t="str">
        <f>"Відділ реєстрації Новокаховської міської ради"</f>
        <v>Відділ реєстрації Новокаховської міської ради</v>
      </c>
      <c r="G1663" s="1" t="str">
        <f t="shared" si="296"/>
        <v>1</v>
      </c>
      <c r="H1663" s="1" t="str">
        <f>"Результат"</f>
        <v>Результат</v>
      </c>
      <c r="I1663" s="1" t="str">
        <f t="shared" si="295"/>
        <v>Позитивний</v>
      </c>
      <c r="J1663" s="1" t="str">
        <f t="shared" si="297"/>
        <v>Так</v>
      </c>
    </row>
    <row r="1664" spans="1:10" ht="45" x14ac:dyDescent="0.25">
      <c r="A1664" s="1" t="str">
        <f>"1725-2020/27"</f>
        <v>1725-2020/27</v>
      </c>
      <c r="B1664" s="1" t="str">
        <f t="shared" si="298"/>
        <v>18.03.2020</v>
      </c>
      <c r="C1664" s="1" t="str">
        <f t="shared" si="289"/>
        <v>Закрито</v>
      </c>
      <c r="D1664" s="1" t="str">
        <f>"Реєстрація місця проживання особи"</f>
        <v>Реєстрація місця проживання особи</v>
      </c>
      <c r="E1664" s="1" t="str">
        <f>"Реєстрація місця проживання"</f>
        <v>Реєстрація місця проживання</v>
      </c>
      <c r="F1664" s="1" t="str">
        <f>"Відділ реєстрації Новокаховської міської ради"</f>
        <v>Відділ реєстрації Новокаховської міської ради</v>
      </c>
      <c r="G1664" s="1" t="str">
        <f t="shared" si="296"/>
        <v>1</v>
      </c>
      <c r="H1664" s="1" t="str">
        <f>"Результат"</f>
        <v>Результат</v>
      </c>
      <c r="I1664" s="1" t="str">
        <f t="shared" si="295"/>
        <v>Позитивний</v>
      </c>
      <c r="J1664" s="1" t="str">
        <f t="shared" si="297"/>
        <v>Так</v>
      </c>
    </row>
    <row r="1665" spans="1:10" ht="45" x14ac:dyDescent="0.25">
      <c r="A1665" s="1" t="str">
        <f>"1724-2020/27"</f>
        <v>1724-2020/27</v>
      </c>
      <c r="B1665" s="1" t="str">
        <f t="shared" si="298"/>
        <v>18.03.2020</v>
      </c>
      <c r="C1665" s="1" t="str">
        <f t="shared" si="289"/>
        <v>Закрито</v>
      </c>
      <c r="D1665" s="1" t="str">
        <f>"Реєстрація місця проживання особи"</f>
        <v>Реєстрація місця проживання особи</v>
      </c>
      <c r="E1665" s="1" t="str">
        <f>"Реєстрація місця проживання"</f>
        <v>Реєстрація місця проживання</v>
      </c>
      <c r="F1665" s="1" t="str">
        <f>"Відділ реєстрації Новокаховської міської ради"</f>
        <v>Відділ реєстрації Новокаховської міської ради</v>
      </c>
      <c r="G1665" s="1" t="str">
        <f t="shared" si="296"/>
        <v>1</v>
      </c>
      <c r="H1665" s="1" t="str">
        <f>"Результат"</f>
        <v>Результат</v>
      </c>
      <c r="I1665" s="1" t="str">
        <f t="shared" si="295"/>
        <v>Позитивний</v>
      </c>
      <c r="J1665" s="1" t="str">
        <f t="shared" si="297"/>
        <v>Так</v>
      </c>
    </row>
    <row r="1666" spans="1:10" ht="45" x14ac:dyDescent="0.25">
      <c r="A1666" s="1" t="str">
        <f>"1717-2020/27"</f>
        <v>1717-2020/27</v>
      </c>
      <c r="B1666" s="1" t="str">
        <f t="shared" si="298"/>
        <v>18.03.2020</v>
      </c>
      <c r="C1666" s="1" t="str">
        <f t="shared" si="289"/>
        <v>Закрито</v>
      </c>
      <c r="D1666" s="1" t="str">
        <f>"Реєстрація місця проживання особи"</f>
        <v>Реєстрація місця проживання особи</v>
      </c>
      <c r="E1666" s="1" t="str">
        <f>"Реєстрація місця проживання"</f>
        <v>Реєстрація місця проживання</v>
      </c>
      <c r="F1666" s="1" t="str">
        <f>"Відділ реєстрації Новокаховської міської ради"</f>
        <v>Відділ реєстрації Новокаховської міської ради</v>
      </c>
      <c r="G1666" s="1" t="str">
        <f t="shared" si="296"/>
        <v>1</v>
      </c>
      <c r="H1666" s="1" t="str">
        <f>"Результат"</f>
        <v>Результат</v>
      </c>
      <c r="I1666" s="1" t="str">
        <f t="shared" si="295"/>
        <v>Позитивний</v>
      </c>
      <c r="J1666" s="1" t="str">
        <f t="shared" si="297"/>
        <v>Так</v>
      </c>
    </row>
    <row r="1667" spans="1:10" ht="90" x14ac:dyDescent="0.25">
      <c r="A1667" s="1" t="str">
        <f>"1727-2020/27"</f>
        <v>1727-2020/27</v>
      </c>
      <c r="B1667" s="1" t="str">
        <f t="shared" si="298"/>
        <v>18.03.2020</v>
      </c>
      <c r="C1667" s="1" t="str">
        <f t="shared" si="289"/>
        <v>Закрито</v>
      </c>
      <c r="D166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67" s="1" t="str">
        <f>"Інші послуги"</f>
        <v>Інші послуги</v>
      </c>
      <c r="F166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67" s="1" t="str">
        <f>"5"</f>
        <v>5</v>
      </c>
      <c r="H1667" s="1" t="str">
        <f>"Результат"</f>
        <v>Результат</v>
      </c>
      <c r="I1667" s="1" t="str">
        <f t="shared" si="295"/>
        <v>Позитивний</v>
      </c>
      <c r="J1667" s="1" t="str">
        <f>"Ні"</f>
        <v>Ні</v>
      </c>
    </row>
    <row r="1668" spans="1:10" ht="45" x14ac:dyDescent="0.25">
      <c r="A1668" s="1" t="str">
        <f>"1726-2020/27"</f>
        <v>1726-2020/27</v>
      </c>
      <c r="B1668" s="1" t="str">
        <f t="shared" si="298"/>
        <v>18.03.2020</v>
      </c>
      <c r="C1668" s="1" t="str">
        <f t="shared" si="289"/>
        <v>Закрито</v>
      </c>
      <c r="D1668" s="1" t="str">
        <f>"Зняття з реєстрації місця проживання"</f>
        <v>Зняття з реєстрації місця проживання</v>
      </c>
      <c r="E1668" s="1" t="str">
        <f>"Реєстрація місця проживання"</f>
        <v>Реєстрація місця проживання</v>
      </c>
      <c r="F1668" s="1" t="str">
        <f>"Відділ реєстрації Новокаховської міської ради"</f>
        <v>Відділ реєстрації Новокаховської міської ради</v>
      </c>
      <c r="G1668" s="1" t="str">
        <f>"1"</f>
        <v>1</v>
      </c>
      <c r="H1668" s="1" t="str">
        <f>"Результат"</f>
        <v>Результат</v>
      </c>
      <c r="I1668" s="1" t="str">
        <f t="shared" si="295"/>
        <v>Позитивний</v>
      </c>
      <c r="J1668" s="1" t="str">
        <f>"Так"</f>
        <v>Так</v>
      </c>
    </row>
    <row r="1669" spans="1:10" ht="45" x14ac:dyDescent="0.25">
      <c r="A1669" s="1" t="str">
        <f>"1720-2020/27"</f>
        <v>1720-2020/27</v>
      </c>
      <c r="B1669" s="1" t="str">
        <f t="shared" si="298"/>
        <v>18.03.2020</v>
      </c>
      <c r="C1669" s="1" t="str">
        <f t="shared" si="289"/>
        <v>Закрито</v>
      </c>
      <c r="D1669" s="1" t="str">
        <f>"Реєстрація місця проживання особи"</f>
        <v>Реєстрація місця проживання особи</v>
      </c>
      <c r="E1669" s="1" t="str">
        <f>"Реєстрація місця проживання"</f>
        <v>Реєстрація місця проживання</v>
      </c>
      <c r="F1669" s="1" t="str">
        <f>"Відділ реєстрації Новокаховської міської ради"</f>
        <v>Відділ реєстрації Новокаховської міської ради</v>
      </c>
      <c r="G1669" s="1" t="str">
        <f>"1"</f>
        <v>1</v>
      </c>
      <c r="H1669" s="1" t="str">
        <f>"Результат"</f>
        <v>Результат</v>
      </c>
      <c r="I1669" s="1" t="str">
        <f t="shared" si="295"/>
        <v>Позитивний</v>
      </c>
      <c r="J1669" s="1" t="str">
        <f>"Так"</f>
        <v>Так</v>
      </c>
    </row>
    <row r="1670" spans="1:10" ht="90" x14ac:dyDescent="0.25">
      <c r="A1670" s="1" t="str">
        <f>"1723-2020/27"</f>
        <v>1723-2020/27</v>
      </c>
      <c r="B1670" s="1" t="str">
        <f t="shared" si="298"/>
        <v>18.03.2020</v>
      </c>
      <c r="C1670" s="1" t="str">
        <f t="shared" si="289"/>
        <v>Закрито</v>
      </c>
      <c r="D167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70" s="1" t="str">
        <f>"Інші послуги"</f>
        <v>Інші послуги</v>
      </c>
      <c r="F167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70" s="1" t="str">
        <f>"5"</f>
        <v>5</v>
      </c>
      <c r="H1670" s="1" t="str">
        <f>"Результат"</f>
        <v>Результат</v>
      </c>
      <c r="I1670" s="1" t="str">
        <f t="shared" si="295"/>
        <v>Позитивний</v>
      </c>
      <c r="J1670" s="1" t="str">
        <f>"Ні"</f>
        <v>Ні</v>
      </c>
    </row>
    <row r="1671" spans="1:10" ht="45" x14ac:dyDescent="0.25">
      <c r="A1671" s="1" t="str">
        <f>"1716-2020/27"</f>
        <v>1716-2020/27</v>
      </c>
      <c r="B1671" s="1" t="str">
        <f t="shared" si="298"/>
        <v>18.03.2020</v>
      </c>
      <c r="C1671" s="1" t="str">
        <f t="shared" si="289"/>
        <v>Закрито</v>
      </c>
      <c r="D1671" s="1" t="str">
        <f>"Зняття з реєстрації місця проживання"</f>
        <v>Зняття з реєстрації місця проживання</v>
      </c>
      <c r="E1671" s="1" t="str">
        <f>"Реєстрація місця проживання"</f>
        <v>Реєстрація місця проживання</v>
      </c>
      <c r="F1671" s="1" t="str">
        <f>"Відділ реєстрації Новокаховської міської ради"</f>
        <v>Відділ реєстрації Новокаховської міської ради</v>
      </c>
      <c r="G1671" s="1" t="str">
        <f>"1"</f>
        <v>1</v>
      </c>
      <c r="H1671" s="1" t="str">
        <f>"Результат"</f>
        <v>Результат</v>
      </c>
      <c r="I1671" s="1" t="str">
        <f t="shared" si="295"/>
        <v>Позитивний</v>
      </c>
      <c r="J1671" s="1" t="str">
        <f>"Ні"</f>
        <v>Ні</v>
      </c>
    </row>
    <row r="1672" spans="1:10" ht="225" x14ac:dyDescent="0.25">
      <c r="A1672" s="1" t="str">
        <f>"1721-2020/27"</f>
        <v>1721-2020/27</v>
      </c>
      <c r="B1672" s="1" t="str">
        <f t="shared" si="298"/>
        <v>18.03.2020</v>
      </c>
      <c r="C1672" s="1" t="str">
        <f t="shared" si="289"/>
        <v>Закрито</v>
      </c>
      <c r="D1672" s="1" t="s">
        <v>0</v>
      </c>
      <c r="E1672" s="1" t="str">
        <f>"Будівництво"</f>
        <v>Будівництво</v>
      </c>
      <c r="F167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672" s="1" t="str">
        <f>"10"</f>
        <v>10</v>
      </c>
      <c r="H1672" s="1" t="str">
        <f>"Результат"</f>
        <v>Результат</v>
      </c>
      <c r="I1672" s="1" t="str">
        <f t="shared" si="295"/>
        <v>Позитивний</v>
      </c>
      <c r="J1672" s="1" t="str">
        <f>"Ні"</f>
        <v>Ні</v>
      </c>
    </row>
    <row r="1673" spans="1:10" ht="135" x14ac:dyDescent="0.25">
      <c r="A1673" s="1" t="str">
        <f>"1730-2020/27"</f>
        <v>1730-2020/27</v>
      </c>
      <c r="B1673" s="1" t="str">
        <f t="shared" ref="B1673:B1684" si="299">"19.03.2020"</f>
        <v>19.03.2020</v>
      </c>
      <c r="C1673" s="1" t="str">
        <f t="shared" ref="C1673:C1681" si="300">"Закрито"</f>
        <v>Закрито</v>
      </c>
      <c r="D1673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673" s="1" t="str">
        <f>"Земельні питання"</f>
        <v>Земельні питання</v>
      </c>
      <c r="F16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73" s="1" t="str">
        <f>"14"</f>
        <v>14</v>
      </c>
      <c r="H1673" s="1" t="str">
        <f>"Результат"</f>
        <v>Результат</v>
      </c>
      <c r="I1673" s="1" t="str">
        <f t="shared" si="295"/>
        <v>Позитивний</v>
      </c>
      <c r="J1673" s="1" t="str">
        <f>"Ні"</f>
        <v>Ні</v>
      </c>
    </row>
    <row r="1674" spans="1:10" ht="135" x14ac:dyDescent="0.25">
      <c r="A1674" s="1" t="str">
        <f>"1731-2020/27"</f>
        <v>1731-2020/27</v>
      </c>
      <c r="B1674" s="1" t="str">
        <f t="shared" si="299"/>
        <v>19.03.2020</v>
      </c>
      <c r="C1674" s="1" t="str">
        <f t="shared" si="300"/>
        <v>Закрито</v>
      </c>
      <c r="D167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674" s="1" t="str">
        <f>"Земельні питання"</f>
        <v>Земельні питання</v>
      </c>
      <c r="F16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74" s="1" t="str">
        <f>"14"</f>
        <v>14</v>
      </c>
      <c r="H1674" s="1" t="str">
        <f>"Результат"</f>
        <v>Результат</v>
      </c>
      <c r="I1674" s="1" t="str">
        <f t="shared" si="295"/>
        <v>Позитивний</v>
      </c>
      <c r="J1674" s="1" t="str">
        <f>"Ні"</f>
        <v>Ні</v>
      </c>
    </row>
    <row r="1675" spans="1:10" ht="135" x14ac:dyDescent="0.25">
      <c r="A1675" s="1" t="str">
        <f>"1728-2020/27"</f>
        <v>1728-2020/27</v>
      </c>
      <c r="B1675" s="1" t="str">
        <f t="shared" si="299"/>
        <v>19.03.2020</v>
      </c>
      <c r="C1675" s="1" t="str">
        <f t="shared" si="300"/>
        <v>Закрито</v>
      </c>
      <c r="D167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75" s="1" t="str">
        <f>"Земельні питання"</f>
        <v>Земельні питання</v>
      </c>
      <c r="F16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75" s="1" t="str">
        <f>"1"</f>
        <v>1</v>
      </c>
      <c r="H1675" s="1" t="str">
        <f>"Результат"</f>
        <v>Результат</v>
      </c>
      <c r="I1675" s="1" t="str">
        <f t="shared" si="295"/>
        <v>Позитивний</v>
      </c>
      <c r="J1675" s="1" t="str">
        <f>"Так"</f>
        <v>Так</v>
      </c>
    </row>
    <row r="1676" spans="1:10" ht="90" x14ac:dyDescent="0.25">
      <c r="A1676" s="1" t="str">
        <f>"1737-2020/27"</f>
        <v>1737-2020/27</v>
      </c>
      <c r="B1676" s="1" t="str">
        <f t="shared" si="299"/>
        <v>19.03.2020</v>
      </c>
      <c r="C1676" s="1" t="str">
        <f t="shared" si="300"/>
        <v>Закрито</v>
      </c>
      <c r="D167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76" s="1" t="str">
        <f>"Інші послуги"</f>
        <v>Інші послуги</v>
      </c>
      <c r="F167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76" s="1" t="str">
        <f>"5"</f>
        <v>5</v>
      </c>
      <c r="H1676" s="1" t="str">
        <f>"Результат"</f>
        <v>Результат</v>
      </c>
      <c r="I1676" s="1" t="str">
        <f t="shared" si="295"/>
        <v>Позитивний</v>
      </c>
      <c r="J1676" s="1" t="str">
        <f>"Ні"</f>
        <v>Ні</v>
      </c>
    </row>
    <row r="1677" spans="1:10" ht="45" x14ac:dyDescent="0.25">
      <c r="A1677" s="1" t="str">
        <f>"1735-2020/27"</f>
        <v>1735-2020/27</v>
      </c>
      <c r="B1677" s="1" t="str">
        <f t="shared" si="299"/>
        <v>19.03.2020</v>
      </c>
      <c r="C1677" s="1" t="str">
        <f t="shared" si="300"/>
        <v>Закрито</v>
      </c>
      <c r="D1677" s="1" t="str">
        <f>"Зняття з реєстрації місця проживання"</f>
        <v>Зняття з реєстрації місця проживання</v>
      </c>
      <c r="E1677" s="1" t="str">
        <f>"Реєстрація місця проживання"</f>
        <v>Реєстрація місця проживання</v>
      </c>
      <c r="F1677" s="1" t="str">
        <f>"Відділ реєстрації Новокаховської міської ради"</f>
        <v>Відділ реєстрації Новокаховської міської ради</v>
      </c>
      <c r="G1677" s="1" t="str">
        <f>"1"</f>
        <v>1</v>
      </c>
      <c r="H1677" s="1" t="str">
        <f>"Результат"</f>
        <v>Результат</v>
      </c>
      <c r="I1677" s="1" t="str">
        <f t="shared" si="295"/>
        <v>Позитивний</v>
      </c>
      <c r="J1677" s="1" t="str">
        <f>"Так"</f>
        <v>Так</v>
      </c>
    </row>
    <row r="1678" spans="1:10" ht="135" x14ac:dyDescent="0.25">
      <c r="A1678" s="1" t="str">
        <f>"1733-2020/27"</f>
        <v>1733-2020/27</v>
      </c>
      <c r="B1678" s="1" t="str">
        <f t="shared" si="299"/>
        <v>19.03.2020</v>
      </c>
      <c r="C1678" s="1" t="str">
        <f t="shared" si="300"/>
        <v>Закрито</v>
      </c>
      <c r="D167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678" s="1" t="str">
        <f>"Земельні питання"</f>
        <v>Земельні питання</v>
      </c>
      <c r="F16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78" s="1" t="str">
        <f>"14"</f>
        <v>14</v>
      </c>
      <c r="H1678" s="1" t="str">
        <f>"Результат"</f>
        <v>Результат</v>
      </c>
      <c r="I1678" s="1" t="str">
        <f t="shared" si="295"/>
        <v>Позитивний</v>
      </c>
      <c r="J1678" s="1" t="str">
        <f>"Ні"</f>
        <v>Ні</v>
      </c>
    </row>
    <row r="1679" spans="1:10" ht="135" x14ac:dyDescent="0.25">
      <c r="A1679" s="1" t="str">
        <f>"1739-2020/27"</f>
        <v>1739-2020/27</v>
      </c>
      <c r="B1679" s="1" t="str">
        <f t="shared" si="299"/>
        <v>19.03.2020</v>
      </c>
      <c r="C1679" s="1" t="str">
        <f t="shared" si="300"/>
        <v>Закрито</v>
      </c>
      <c r="D167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79" s="1" t="str">
        <f>"Земельні питання"</f>
        <v>Земельні питання</v>
      </c>
      <c r="F16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79" s="1" t="str">
        <f>"1"</f>
        <v>1</v>
      </c>
      <c r="H1679" s="1" t="str">
        <f>"Результат"</f>
        <v>Результат</v>
      </c>
      <c r="I1679" s="1" t="str">
        <f t="shared" si="295"/>
        <v>Позитивний</v>
      </c>
      <c r="J1679" s="1" t="str">
        <f>"Так"</f>
        <v>Так</v>
      </c>
    </row>
    <row r="1680" spans="1:10" ht="45" x14ac:dyDescent="0.25">
      <c r="A1680" s="1" t="str">
        <f>"1734-2020/27"</f>
        <v>1734-2020/27</v>
      </c>
      <c r="B1680" s="1" t="str">
        <f t="shared" si="299"/>
        <v>19.03.2020</v>
      </c>
      <c r="C1680" s="1" t="str">
        <f t="shared" si="300"/>
        <v>Закрито</v>
      </c>
      <c r="D1680" s="1" t="str">
        <f>"Зняття з реєстрації місця проживання"</f>
        <v>Зняття з реєстрації місця проживання</v>
      </c>
      <c r="E1680" s="1" t="str">
        <f>"Реєстрація місця проживання"</f>
        <v>Реєстрація місця проживання</v>
      </c>
      <c r="F1680" s="1" t="str">
        <f>"Відділ реєстрації Новокаховської міської ради"</f>
        <v>Відділ реєстрації Новокаховської міської ради</v>
      </c>
      <c r="G1680" s="1" t="str">
        <f>"1"</f>
        <v>1</v>
      </c>
      <c r="H1680" s="1" t="str">
        <f>"Результат"</f>
        <v>Результат</v>
      </c>
      <c r="I1680" s="1" t="str">
        <f t="shared" si="295"/>
        <v>Позитивний</v>
      </c>
      <c r="J1680" s="1" t="str">
        <f>"Так"</f>
        <v>Так</v>
      </c>
    </row>
    <row r="1681" spans="1:10" ht="120" x14ac:dyDescent="0.25">
      <c r="A1681" s="1" t="str">
        <f>"1736-2020/27"</f>
        <v>1736-2020/27</v>
      </c>
      <c r="B1681" s="1" t="str">
        <f t="shared" si="299"/>
        <v>19.03.2020</v>
      </c>
      <c r="C1681" s="1" t="str">
        <f t="shared" si="300"/>
        <v>Закрито</v>
      </c>
      <c r="D1681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681" s="1" t="str">
        <f>"Будівництво"</f>
        <v>Будівництво</v>
      </c>
      <c r="F168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681" s="1" t="str">
        <f>"10"</f>
        <v>10</v>
      </c>
      <c r="H1681" s="1" t="str">
        <f>"Результат"</f>
        <v>Результат</v>
      </c>
      <c r="I1681" s="1" t="str">
        <f t="shared" si="295"/>
        <v>Позитивний</v>
      </c>
      <c r="J1681" s="1" t="str">
        <f>"Ні"</f>
        <v>Ні</v>
      </c>
    </row>
    <row r="1682" spans="1:10" ht="135" x14ac:dyDescent="0.25">
      <c r="A1682" s="1" t="str">
        <f>"1729-2020/27"</f>
        <v>1729-2020/27</v>
      </c>
      <c r="B1682" s="1" t="str">
        <f t="shared" si="299"/>
        <v>19.03.2020</v>
      </c>
      <c r="C1682" s="1" t="str">
        <f t="shared" ref="C1682:C1712" si="301">"Закрито"</f>
        <v>Закрито</v>
      </c>
      <c r="D168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682" s="1" t="str">
        <f t="shared" ref="E1682:E1687" si="302">"Земельні питання"</f>
        <v>Земельні питання</v>
      </c>
      <c r="F1682" s="1" t="str">
        <f t="shared" ref="F1682:F1687" si="303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82" s="1" t="str">
        <f>"14"</f>
        <v>14</v>
      </c>
      <c r="H1682" s="1" t="str">
        <f>"Результат"</f>
        <v>Результат</v>
      </c>
      <c r="I1682" s="1" t="str">
        <f t="shared" si="295"/>
        <v>Позитивний</v>
      </c>
      <c r="J1682" s="1" t="str">
        <f>"Ні"</f>
        <v>Ні</v>
      </c>
    </row>
    <row r="1683" spans="1:10" ht="135" x14ac:dyDescent="0.25">
      <c r="A1683" s="1" t="str">
        <f>"1738-2020/27"</f>
        <v>1738-2020/27</v>
      </c>
      <c r="B1683" s="1" t="str">
        <f t="shared" si="299"/>
        <v>19.03.2020</v>
      </c>
      <c r="C1683" s="1" t="str">
        <f t="shared" si="301"/>
        <v>Закрито</v>
      </c>
      <c r="D16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83" s="1" t="str">
        <f t="shared" si="302"/>
        <v>Земельні питання</v>
      </c>
      <c r="F1683" s="1" t="str">
        <f t="shared" si="30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83" s="1" t="str">
        <f>"1"</f>
        <v>1</v>
      </c>
      <c r="H1683" s="1" t="str">
        <f>"Результат"</f>
        <v>Результат</v>
      </c>
      <c r="I1683" s="1" t="str">
        <f t="shared" si="295"/>
        <v>Позитивний</v>
      </c>
      <c r="J1683" s="1" t="str">
        <f>"Так"</f>
        <v>Так</v>
      </c>
    </row>
    <row r="1684" spans="1:10" ht="135" x14ac:dyDescent="0.25">
      <c r="A1684" s="1" t="str">
        <f>"1732-2020/27"</f>
        <v>1732-2020/27</v>
      </c>
      <c r="B1684" s="1" t="str">
        <f t="shared" si="299"/>
        <v>19.03.2020</v>
      </c>
      <c r="C1684" s="1" t="str">
        <f t="shared" si="301"/>
        <v>Закрито</v>
      </c>
      <c r="D168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684" s="1" t="str">
        <f t="shared" si="302"/>
        <v>Земельні питання</v>
      </c>
      <c r="F1684" s="1" t="str">
        <f t="shared" si="30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84" s="1" t="str">
        <f>"14"</f>
        <v>14</v>
      </c>
      <c r="H1684" s="1" t="str">
        <f>"Результат"</f>
        <v>Результат</v>
      </c>
      <c r="I1684" s="1" t="str">
        <f t="shared" ref="I1684:I1715" si="304">"Позитивний"</f>
        <v>Позитивний</v>
      </c>
      <c r="J1684" s="1" t="str">
        <f>"Ні"</f>
        <v>Ні</v>
      </c>
    </row>
    <row r="1685" spans="1:10" ht="135" x14ac:dyDescent="0.25">
      <c r="A1685" s="1" t="str">
        <f>"1745-2020/27"</f>
        <v>1745-2020/27</v>
      </c>
      <c r="B1685" s="1" t="str">
        <f t="shared" ref="B1685:B1690" si="305">"20.03.2020"</f>
        <v>20.03.2020</v>
      </c>
      <c r="C1685" s="1" t="str">
        <f t="shared" si="301"/>
        <v>Закрито</v>
      </c>
      <c r="D168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85" s="1" t="str">
        <f t="shared" si="302"/>
        <v>Земельні питання</v>
      </c>
      <c r="F1685" s="1" t="str">
        <f t="shared" si="30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85" s="1" t="str">
        <f>"1"</f>
        <v>1</v>
      </c>
      <c r="H1685" s="1" t="str">
        <f>"Результат"</f>
        <v>Результат</v>
      </c>
      <c r="I1685" s="1" t="str">
        <f t="shared" si="304"/>
        <v>Позитивний</v>
      </c>
      <c r="J1685" s="1" t="str">
        <f>"Так"</f>
        <v>Так</v>
      </c>
    </row>
    <row r="1686" spans="1:10" ht="135" x14ac:dyDescent="0.25">
      <c r="A1686" s="1" t="str">
        <f>"1744-2020/27"</f>
        <v>1744-2020/27</v>
      </c>
      <c r="B1686" s="1" t="str">
        <f t="shared" si="305"/>
        <v>20.03.2020</v>
      </c>
      <c r="C1686" s="1" t="str">
        <f t="shared" si="301"/>
        <v>Закрито</v>
      </c>
      <c r="D168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86" s="1" t="str">
        <f t="shared" si="302"/>
        <v>Земельні питання</v>
      </c>
      <c r="F1686" s="1" t="str">
        <f t="shared" si="30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86" s="1" t="str">
        <f>"1"</f>
        <v>1</v>
      </c>
      <c r="H1686" s="1" t="str">
        <f>"Результат"</f>
        <v>Результат</v>
      </c>
      <c r="I1686" s="1" t="str">
        <f t="shared" si="304"/>
        <v>Позитивний</v>
      </c>
      <c r="J1686" s="1" t="str">
        <f>"Так"</f>
        <v>Так</v>
      </c>
    </row>
    <row r="1687" spans="1:10" ht="135" x14ac:dyDescent="0.25">
      <c r="A1687" s="1" t="str">
        <f>"1742-2020/27"</f>
        <v>1742-2020/27</v>
      </c>
      <c r="B1687" s="1" t="str">
        <f t="shared" si="305"/>
        <v>20.03.2020</v>
      </c>
      <c r="C1687" s="1" t="str">
        <f t="shared" si="301"/>
        <v>Закрито</v>
      </c>
      <c r="D16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87" s="1" t="str">
        <f t="shared" si="302"/>
        <v>Земельні питання</v>
      </c>
      <c r="F1687" s="1" t="str">
        <f t="shared" si="303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87" s="1" t="str">
        <f>"1"</f>
        <v>1</v>
      </c>
      <c r="H1687" s="1" t="str">
        <f>"Результат"</f>
        <v>Результат</v>
      </c>
      <c r="I1687" s="1" t="str">
        <f t="shared" si="304"/>
        <v>Позитивний</v>
      </c>
      <c r="J1687" s="1" t="str">
        <f>"Так"</f>
        <v>Так</v>
      </c>
    </row>
    <row r="1688" spans="1:10" ht="90" x14ac:dyDescent="0.25">
      <c r="A1688" s="1" t="str">
        <f>"1740-2020/27"</f>
        <v>1740-2020/27</v>
      </c>
      <c r="B1688" s="1" t="str">
        <f t="shared" si="305"/>
        <v>20.03.2020</v>
      </c>
      <c r="C1688" s="1" t="str">
        <f t="shared" si="301"/>
        <v>Закрито</v>
      </c>
      <c r="D168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688" s="1" t="str">
        <f>"Інші послуги"</f>
        <v>Інші послуги</v>
      </c>
      <c r="F168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688" s="1" t="str">
        <f>"5"</f>
        <v>5</v>
      </c>
      <c r="H1688" s="1" t="str">
        <f>"Результат"</f>
        <v>Результат</v>
      </c>
      <c r="I1688" s="1" t="str">
        <f t="shared" si="304"/>
        <v>Позитивний</v>
      </c>
      <c r="J1688" s="1" t="str">
        <f>"Ні"</f>
        <v>Ні</v>
      </c>
    </row>
    <row r="1689" spans="1:10" ht="135" x14ac:dyDescent="0.25">
      <c r="A1689" s="1" t="str">
        <f>"1743-2020/27"</f>
        <v>1743-2020/27</v>
      </c>
      <c r="B1689" s="1" t="str">
        <f t="shared" si="305"/>
        <v>20.03.2020</v>
      </c>
      <c r="C1689" s="1" t="str">
        <f t="shared" si="301"/>
        <v>Закрито</v>
      </c>
      <c r="D16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89" s="1" t="str">
        <f>"Земельні питання"</f>
        <v>Земельні питання</v>
      </c>
      <c r="F16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89" s="1" t="str">
        <f>"1"</f>
        <v>1</v>
      </c>
      <c r="H1689" s="1" t="str">
        <f>"Результат"</f>
        <v>Результат</v>
      </c>
      <c r="I1689" s="1" t="str">
        <f t="shared" si="304"/>
        <v>Позитивний</v>
      </c>
      <c r="J1689" s="1" t="str">
        <f>"Так"</f>
        <v>Так</v>
      </c>
    </row>
    <row r="1690" spans="1:10" ht="45" x14ac:dyDescent="0.25">
      <c r="A1690" s="1" t="str">
        <f>"1741-2020/27"</f>
        <v>1741-2020/27</v>
      </c>
      <c r="B1690" s="1" t="str">
        <f t="shared" si="305"/>
        <v>20.03.2020</v>
      </c>
      <c r="C1690" s="1" t="str">
        <f t="shared" si="301"/>
        <v>Закрито</v>
      </c>
      <c r="D1690" s="1" t="str">
        <f>"Зняття з реєстрації місця проживання"</f>
        <v>Зняття з реєстрації місця проживання</v>
      </c>
      <c r="E1690" s="1" t="str">
        <f>"Реєстрація місця проживання"</f>
        <v>Реєстрація місця проживання</v>
      </c>
      <c r="F1690" s="1" t="str">
        <f>"Відділ реєстрації Новокаховської міської ради"</f>
        <v>Відділ реєстрації Новокаховської міської ради</v>
      </c>
      <c r="G1690" s="1" t="str">
        <f>"1"</f>
        <v>1</v>
      </c>
      <c r="H1690" s="1" t="str">
        <f>"Результат"</f>
        <v>Результат</v>
      </c>
      <c r="I1690" s="1" t="str">
        <f t="shared" si="304"/>
        <v>Позитивний</v>
      </c>
      <c r="J1690" s="1" t="str">
        <f>"Так"</f>
        <v>Так</v>
      </c>
    </row>
    <row r="1691" spans="1:10" ht="135" x14ac:dyDescent="0.25">
      <c r="A1691" s="1" t="str">
        <f>"1753-2020/27"</f>
        <v>1753-2020/27</v>
      </c>
      <c r="B1691" s="1" t="str">
        <f t="shared" ref="B1691:B1699" si="306">"23.03.2020"</f>
        <v>23.03.2020</v>
      </c>
      <c r="C1691" s="1" t="str">
        <f t="shared" si="301"/>
        <v>Закрито</v>
      </c>
      <c r="D169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691" s="1" t="str">
        <f>"Земельні питання"</f>
        <v>Земельні питання</v>
      </c>
      <c r="F16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91" s="1" t="str">
        <f>"14"</f>
        <v>14</v>
      </c>
      <c r="H1691" s="1" t="str">
        <f>"Результат"</f>
        <v>Результат</v>
      </c>
      <c r="I1691" s="1" t="str">
        <f t="shared" si="304"/>
        <v>Позитивний</v>
      </c>
      <c r="J1691" s="1" t="str">
        <f>"Ні"</f>
        <v>Ні</v>
      </c>
    </row>
    <row r="1692" spans="1:10" ht="135" x14ac:dyDescent="0.25">
      <c r="A1692" s="1" t="str">
        <f>"1754-2020/27"</f>
        <v>1754-2020/27</v>
      </c>
      <c r="B1692" s="1" t="str">
        <f t="shared" si="306"/>
        <v>23.03.2020</v>
      </c>
      <c r="C1692" s="1" t="str">
        <f t="shared" si="301"/>
        <v>Закрито</v>
      </c>
      <c r="D169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692" s="1" t="str">
        <f>"Земельні питання"</f>
        <v>Земельні питання</v>
      </c>
      <c r="F16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692" s="1" t="str">
        <f>"14"</f>
        <v>14</v>
      </c>
      <c r="H1692" s="1" t="str">
        <f>"Результат"</f>
        <v>Результат</v>
      </c>
      <c r="I1692" s="1" t="str">
        <f t="shared" si="304"/>
        <v>Позитивний</v>
      </c>
      <c r="J1692" s="1" t="str">
        <f>"Ні"</f>
        <v>Ні</v>
      </c>
    </row>
    <row r="1693" spans="1:10" ht="45" x14ac:dyDescent="0.25">
      <c r="A1693" s="1" t="str">
        <f>"1748-2020/27"</f>
        <v>1748-2020/27</v>
      </c>
      <c r="B1693" s="1" t="str">
        <f t="shared" si="306"/>
        <v>23.03.2020</v>
      </c>
      <c r="C1693" s="1" t="str">
        <f t="shared" si="301"/>
        <v>Закрито</v>
      </c>
      <c r="D1693" s="1" t="str">
        <f>"Зняття з реєстрації місця проживання"</f>
        <v>Зняття з реєстрації місця проживання</v>
      </c>
      <c r="E1693" s="1" t="str">
        <f>"Реєстрація місця проживання"</f>
        <v>Реєстрація місця проживання</v>
      </c>
      <c r="F1693" s="1" t="str">
        <f>"Відділ реєстрації Новокаховської міської ради"</f>
        <v>Відділ реєстрації Новокаховської міської ради</v>
      </c>
      <c r="G1693" s="1" t="str">
        <f t="shared" ref="G1693:G1699" si="307">"1"</f>
        <v>1</v>
      </c>
      <c r="H1693" s="1" t="str">
        <f>"Результат"</f>
        <v>Результат</v>
      </c>
      <c r="I1693" s="1" t="str">
        <f t="shared" si="304"/>
        <v>Позитивний</v>
      </c>
      <c r="J1693" s="1" t="str">
        <f t="shared" ref="J1693:J1699" si="308">"Так"</f>
        <v>Так</v>
      </c>
    </row>
    <row r="1694" spans="1:10" ht="45" x14ac:dyDescent="0.25">
      <c r="A1694" s="1" t="str">
        <f>"1751-2020/27"</f>
        <v>1751-2020/27</v>
      </c>
      <c r="B1694" s="1" t="str">
        <f t="shared" si="306"/>
        <v>23.03.2020</v>
      </c>
      <c r="C1694" s="1" t="str">
        <f t="shared" si="301"/>
        <v>Закрито</v>
      </c>
      <c r="D1694" s="1" t="str">
        <f>"Реєстрація місця проживання особи"</f>
        <v>Реєстрація місця проживання особи</v>
      </c>
      <c r="E1694" s="1" t="str">
        <f>"Реєстрація місця проживання"</f>
        <v>Реєстрація місця проживання</v>
      </c>
      <c r="F1694" s="1" t="str">
        <f>"Відділ реєстрації Новокаховської міської ради"</f>
        <v>Відділ реєстрації Новокаховської міської ради</v>
      </c>
      <c r="G1694" s="1" t="str">
        <f t="shared" si="307"/>
        <v>1</v>
      </c>
      <c r="H1694" s="1" t="str">
        <f>"Результат"</f>
        <v>Результат</v>
      </c>
      <c r="I1694" s="1" t="str">
        <f t="shared" si="304"/>
        <v>Позитивний</v>
      </c>
      <c r="J1694" s="1" t="str">
        <f t="shared" si="308"/>
        <v>Так</v>
      </c>
    </row>
    <row r="1695" spans="1:10" ht="105" x14ac:dyDescent="0.25">
      <c r="A1695" s="1" t="str">
        <f>"1752-2020/27"</f>
        <v>1752-2020/27</v>
      </c>
      <c r="B1695" s="1" t="str">
        <f t="shared" si="306"/>
        <v>23.03.2020</v>
      </c>
      <c r="C1695" s="1" t="str">
        <f t="shared" si="301"/>
        <v>Закрито</v>
      </c>
      <c r="D169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695" s="1" t="str">
        <f>"Земельні питання"</f>
        <v>Земельні питання</v>
      </c>
      <c r="F169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695" s="1" t="str">
        <f t="shared" si="307"/>
        <v>1</v>
      </c>
      <c r="H1695" s="1" t="str">
        <f>"Результат"</f>
        <v>Результат</v>
      </c>
      <c r="I1695" s="1" t="str">
        <f t="shared" si="304"/>
        <v>Позитивний</v>
      </c>
      <c r="J1695" s="1" t="str">
        <f t="shared" si="308"/>
        <v>Так</v>
      </c>
    </row>
    <row r="1696" spans="1:10" ht="45" x14ac:dyDescent="0.25">
      <c r="A1696" s="1" t="str">
        <f>"1749-2020/27"</f>
        <v>1749-2020/27</v>
      </c>
      <c r="B1696" s="1" t="str">
        <f t="shared" si="306"/>
        <v>23.03.2020</v>
      </c>
      <c r="C1696" s="1" t="str">
        <f t="shared" si="301"/>
        <v>Закрито</v>
      </c>
      <c r="D1696" s="1" t="str">
        <f>"Зняття з реєстрації місця проживання"</f>
        <v>Зняття з реєстрації місця проживання</v>
      </c>
      <c r="E1696" s="1" t="str">
        <f>"Реєстрація місця проживання"</f>
        <v>Реєстрація місця проживання</v>
      </c>
      <c r="F1696" s="1" t="str">
        <f>"Відділ реєстрації Новокаховської міської ради"</f>
        <v>Відділ реєстрації Новокаховської міської ради</v>
      </c>
      <c r="G1696" s="1" t="str">
        <f t="shared" si="307"/>
        <v>1</v>
      </c>
      <c r="H1696" s="1" t="str">
        <f>"Результат"</f>
        <v>Результат</v>
      </c>
      <c r="I1696" s="1" t="str">
        <f t="shared" si="304"/>
        <v>Позитивний</v>
      </c>
      <c r="J1696" s="1" t="str">
        <f t="shared" si="308"/>
        <v>Так</v>
      </c>
    </row>
    <row r="1697" spans="1:10" ht="45" x14ac:dyDescent="0.25">
      <c r="A1697" s="1" t="str">
        <f>"1746-2020/27"</f>
        <v>1746-2020/27</v>
      </c>
      <c r="B1697" s="1" t="str">
        <f t="shared" si="306"/>
        <v>23.03.2020</v>
      </c>
      <c r="C1697" s="1" t="str">
        <f t="shared" si="301"/>
        <v>Закрито</v>
      </c>
      <c r="D1697" s="1" t="str">
        <f>"Зняття з реєстрації місця проживання"</f>
        <v>Зняття з реєстрації місця проживання</v>
      </c>
      <c r="E1697" s="1" t="str">
        <f>"Реєстрація місця проживання"</f>
        <v>Реєстрація місця проживання</v>
      </c>
      <c r="F1697" s="1" t="str">
        <f>"Відділ реєстрації Новокаховської міської ради"</f>
        <v>Відділ реєстрації Новокаховської міської ради</v>
      </c>
      <c r="G1697" s="1" t="str">
        <f t="shared" si="307"/>
        <v>1</v>
      </c>
      <c r="H1697" s="1" t="str">
        <f>"Результат"</f>
        <v>Результат</v>
      </c>
      <c r="I1697" s="1" t="str">
        <f t="shared" si="304"/>
        <v>Позитивний</v>
      </c>
      <c r="J1697" s="1" t="str">
        <f t="shared" si="308"/>
        <v>Так</v>
      </c>
    </row>
    <row r="1698" spans="1:10" ht="45" x14ac:dyDescent="0.25">
      <c r="A1698" s="1" t="str">
        <f>"1747-2020/27"</f>
        <v>1747-2020/27</v>
      </c>
      <c r="B1698" s="1" t="str">
        <f t="shared" si="306"/>
        <v>23.03.2020</v>
      </c>
      <c r="C1698" s="1" t="str">
        <f t="shared" si="301"/>
        <v>Закрито</v>
      </c>
      <c r="D1698" s="1" t="str">
        <f>"Реєстрація місця проживання особи"</f>
        <v>Реєстрація місця проживання особи</v>
      </c>
      <c r="E1698" s="1" t="str">
        <f>"Реєстрація місця проживання"</f>
        <v>Реєстрація місця проживання</v>
      </c>
      <c r="F1698" s="1" t="str">
        <f>"Відділ реєстрації Новокаховської міської ради"</f>
        <v>Відділ реєстрації Новокаховської міської ради</v>
      </c>
      <c r="G1698" s="1" t="str">
        <f t="shared" si="307"/>
        <v>1</v>
      </c>
      <c r="H1698" s="1" t="str">
        <f>"Результат"</f>
        <v>Результат</v>
      </c>
      <c r="I1698" s="1" t="str">
        <f t="shared" si="304"/>
        <v>Позитивний</v>
      </c>
      <c r="J1698" s="1" t="str">
        <f t="shared" si="308"/>
        <v>Так</v>
      </c>
    </row>
    <row r="1699" spans="1:10" ht="45" x14ac:dyDescent="0.25">
      <c r="A1699" s="1" t="str">
        <f>"1750-2020/27"</f>
        <v>1750-2020/27</v>
      </c>
      <c r="B1699" s="1" t="str">
        <f t="shared" si="306"/>
        <v>23.03.2020</v>
      </c>
      <c r="C1699" s="1" t="str">
        <f t="shared" si="301"/>
        <v>Закрито</v>
      </c>
      <c r="D1699" s="1" t="str">
        <f>"Зняття з реєстрації місця проживання"</f>
        <v>Зняття з реєстрації місця проживання</v>
      </c>
      <c r="E1699" s="1" t="str">
        <f>"Реєстрація місця проживання"</f>
        <v>Реєстрація місця проживання</v>
      </c>
      <c r="F1699" s="1" t="str">
        <f>"Відділ реєстрації Новокаховської міської ради"</f>
        <v>Відділ реєстрації Новокаховської міської ради</v>
      </c>
      <c r="G1699" s="1" t="str">
        <f t="shared" si="307"/>
        <v>1</v>
      </c>
      <c r="H1699" s="1" t="str">
        <f>"Результат"</f>
        <v>Результат</v>
      </c>
      <c r="I1699" s="1" t="str">
        <f t="shared" si="304"/>
        <v>Позитивний</v>
      </c>
      <c r="J1699" s="1" t="str">
        <f t="shared" si="308"/>
        <v>Так</v>
      </c>
    </row>
    <row r="1700" spans="1:10" ht="90" x14ac:dyDescent="0.25">
      <c r="A1700" s="1" t="str">
        <f>"1764-2020/27"</f>
        <v>1764-2020/27</v>
      </c>
      <c r="B1700" s="1" t="str">
        <f t="shared" ref="B1700:B1713" si="309">"24.03.2020"</f>
        <v>24.03.2020</v>
      </c>
      <c r="C1700" s="1" t="str">
        <f t="shared" si="301"/>
        <v>Закрито</v>
      </c>
      <c r="D170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00" s="1" t="str">
        <f>"Інші послуги"</f>
        <v>Інші послуги</v>
      </c>
      <c r="F170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00" s="1" t="str">
        <f>"5"</f>
        <v>5</v>
      </c>
      <c r="H1700" s="1" t="str">
        <f>"Результат"</f>
        <v>Результат</v>
      </c>
      <c r="I1700" s="1" t="str">
        <f t="shared" si="304"/>
        <v>Позитивний</v>
      </c>
      <c r="J1700" s="1" t="str">
        <f>"Ні"</f>
        <v>Ні</v>
      </c>
    </row>
    <row r="1701" spans="1:10" ht="45" x14ac:dyDescent="0.25">
      <c r="A1701" s="1" t="str">
        <f>"1755-2020/27"</f>
        <v>1755-2020/27</v>
      </c>
      <c r="B1701" s="1" t="str">
        <f t="shared" si="309"/>
        <v>24.03.2020</v>
      </c>
      <c r="C1701" s="1" t="str">
        <f t="shared" si="301"/>
        <v>Закрито</v>
      </c>
      <c r="D1701" s="1" t="str">
        <f>"Реєстрація місця проживання особи"</f>
        <v>Реєстрація місця проживання особи</v>
      </c>
      <c r="E1701" s="1" t="str">
        <f>"Реєстрація місця проживання"</f>
        <v>Реєстрація місця проживання</v>
      </c>
      <c r="F1701" s="1" t="str">
        <f>"Відділ реєстрації Новокаховської міської ради"</f>
        <v>Відділ реєстрації Новокаховської міської ради</v>
      </c>
      <c r="G1701" s="1" t="str">
        <f t="shared" ref="G1701:G1706" si="310">"1"</f>
        <v>1</v>
      </c>
      <c r="H1701" s="1" t="str">
        <f>"Результат"</f>
        <v>Результат</v>
      </c>
      <c r="I1701" s="1" t="str">
        <f t="shared" si="304"/>
        <v>Позитивний</v>
      </c>
      <c r="J1701" s="1" t="str">
        <f t="shared" ref="J1701:J1706" si="311">"Так"</f>
        <v>Так</v>
      </c>
    </row>
    <row r="1702" spans="1:10" ht="45" x14ac:dyDescent="0.25">
      <c r="A1702" s="1" t="str">
        <f>"1762-2020/27"</f>
        <v>1762-2020/27</v>
      </c>
      <c r="B1702" s="1" t="str">
        <f t="shared" si="309"/>
        <v>24.03.2020</v>
      </c>
      <c r="C1702" s="1" t="str">
        <f t="shared" si="301"/>
        <v>Закрито</v>
      </c>
      <c r="D1702" s="1" t="str">
        <f>"Реєстрація місця проживання особи"</f>
        <v>Реєстрація місця проживання особи</v>
      </c>
      <c r="E1702" s="1" t="str">
        <f>"Реєстрація місця проживання"</f>
        <v>Реєстрація місця проживання</v>
      </c>
      <c r="F1702" s="1" t="str">
        <f>"Відділ реєстрації Новокаховської міської ради"</f>
        <v>Відділ реєстрації Новокаховської міської ради</v>
      </c>
      <c r="G1702" s="1" t="str">
        <f t="shared" si="310"/>
        <v>1</v>
      </c>
      <c r="H1702" s="1" t="str">
        <f>"Результат"</f>
        <v>Результат</v>
      </c>
      <c r="I1702" s="1" t="str">
        <f t="shared" si="304"/>
        <v>Позитивний</v>
      </c>
      <c r="J1702" s="1" t="str">
        <f t="shared" si="311"/>
        <v>Так</v>
      </c>
    </row>
    <row r="1703" spans="1:10" ht="45" x14ac:dyDescent="0.25">
      <c r="A1703" s="1" t="str">
        <f>"1757-2020/27"</f>
        <v>1757-2020/27</v>
      </c>
      <c r="B1703" s="1" t="str">
        <f t="shared" si="309"/>
        <v>24.03.2020</v>
      </c>
      <c r="C1703" s="1" t="str">
        <f t="shared" si="301"/>
        <v>Закрито</v>
      </c>
      <c r="D1703" s="1" t="str">
        <f>"Реєстрація місця проживання особи"</f>
        <v>Реєстрація місця проживання особи</v>
      </c>
      <c r="E1703" s="1" t="str">
        <f>"Реєстрація місця проживання"</f>
        <v>Реєстрація місця проживання</v>
      </c>
      <c r="F1703" s="1" t="str">
        <f>"Відділ реєстрації Новокаховської міської ради"</f>
        <v>Відділ реєстрації Новокаховської міської ради</v>
      </c>
      <c r="G1703" s="1" t="str">
        <f t="shared" si="310"/>
        <v>1</v>
      </c>
      <c r="H1703" s="1" t="str">
        <f>"Результат"</f>
        <v>Результат</v>
      </c>
      <c r="I1703" s="1" t="str">
        <f t="shared" si="304"/>
        <v>Позитивний</v>
      </c>
      <c r="J1703" s="1" t="str">
        <f t="shared" si="311"/>
        <v>Так</v>
      </c>
    </row>
    <row r="1704" spans="1:10" ht="45" x14ac:dyDescent="0.25">
      <c r="A1704" s="1" t="str">
        <f>"1756-2020/27"</f>
        <v>1756-2020/27</v>
      </c>
      <c r="B1704" s="1" t="str">
        <f t="shared" si="309"/>
        <v>24.03.2020</v>
      </c>
      <c r="C1704" s="1" t="str">
        <f t="shared" si="301"/>
        <v>Закрито</v>
      </c>
      <c r="D1704" s="1" t="str">
        <f>"Реєстрація місця проживання особи"</f>
        <v>Реєстрація місця проживання особи</v>
      </c>
      <c r="E1704" s="1" t="str">
        <f>"Реєстрація місця проживання"</f>
        <v>Реєстрація місця проживання</v>
      </c>
      <c r="F1704" s="1" t="str">
        <f>"Відділ реєстрації Новокаховської міської ради"</f>
        <v>Відділ реєстрації Новокаховської міської ради</v>
      </c>
      <c r="G1704" s="1" t="str">
        <f t="shared" si="310"/>
        <v>1</v>
      </c>
      <c r="H1704" s="1" t="str">
        <f>"Результат"</f>
        <v>Результат</v>
      </c>
      <c r="I1704" s="1" t="str">
        <f t="shared" si="304"/>
        <v>Позитивний</v>
      </c>
      <c r="J1704" s="1" t="str">
        <f t="shared" si="311"/>
        <v>Так</v>
      </c>
    </row>
    <row r="1705" spans="1:10" ht="135" x14ac:dyDescent="0.25">
      <c r="A1705" s="1" t="str">
        <f>"1767-2020/27"</f>
        <v>1767-2020/27</v>
      </c>
      <c r="B1705" s="1" t="str">
        <f t="shared" si="309"/>
        <v>24.03.2020</v>
      </c>
      <c r="C1705" s="1" t="str">
        <f t="shared" si="301"/>
        <v>Закрито</v>
      </c>
      <c r="D170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05" s="1" t="str">
        <f>"Земельні питання"</f>
        <v>Земельні питання</v>
      </c>
      <c r="F17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05" s="1" t="str">
        <f t="shared" si="310"/>
        <v>1</v>
      </c>
      <c r="H1705" s="1" t="str">
        <f>"Результат"</f>
        <v>Результат</v>
      </c>
      <c r="I1705" s="1" t="str">
        <f t="shared" si="304"/>
        <v>Позитивний</v>
      </c>
      <c r="J1705" s="1" t="str">
        <f t="shared" si="311"/>
        <v>Так</v>
      </c>
    </row>
    <row r="1706" spans="1:10" ht="45" x14ac:dyDescent="0.25">
      <c r="A1706" s="1" t="str">
        <f>"1760-2020/27"</f>
        <v>1760-2020/27</v>
      </c>
      <c r="B1706" s="1" t="str">
        <f t="shared" si="309"/>
        <v>24.03.2020</v>
      </c>
      <c r="C1706" s="1" t="str">
        <f t="shared" si="301"/>
        <v>Закрито</v>
      </c>
      <c r="D1706" s="1" t="str">
        <f>"Реєстрація місця проживання особи"</f>
        <v>Реєстрація місця проживання особи</v>
      </c>
      <c r="E1706" s="1" t="str">
        <f>"Реєстрація місця проживання"</f>
        <v>Реєстрація місця проживання</v>
      </c>
      <c r="F1706" s="1" t="str">
        <f>"Відділ реєстрації Новокаховської міської ради"</f>
        <v>Відділ реєстрації Новокаховської міської ради</v>
      </c>
      <c r="G1706" s="1" t="str">
        <f t="shared" si="310"/>
        <v>1</v>
      </c>
      <c r="H1706" s="1" t="str">
        <f>"Результат"</f>
        <v>Результат</v>
      </c>
      <c r="I1706" s="1" t="str">
        <f t="shared" si="304"/>
        <v>Позитивний</v>
      </c>
      <c r="J1706" s="1" t="str">
        <f t="shared" si="311"/>
        <v>Так</v>
      </c>
    </row>
    <row r="1707" spans="1:10" ht="135" x14ac:dyDescent="0.25">
      <c r="A1707" s="1" t="str">
        <f>"1765-2020/27"</f>
        <v>1765-2020/27</v>
      </c>
      <c r="B1707" s="1" t="str">
        <f t="shared" si="309"/>
        <v>24.03.2020</v>
      </c>
      <c r="C1707" s="1" t="str">
        <f t="shared" si="301"/>
        <v>Закрито</v>
      </c>
      <c r="D170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07" s="1" t="str">
        <f>"Земельні питання"</f>
        <v>Земельні питання</v>
      </c>
      <c r="F17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07" s="1" t="str">
        <f>"14"</f>
        <v>14</v>
      </c>
      <c r="H1707" s="1" t="str">
        <f>"Результат"</f>
        <v>Результат</v>
      </c>
      <c r="I1707" s="1" t="str">
        <f t="shared" si="304"/>
        <v>Позитивний</v>
      </c>
      <c r="J1707" s="1" t="str">
        <f>"Ні"</f>
        <v>Ні</v>
      </c>
    </row>
    <row r="1708" spans="1:10" ht="45" x14ac:dyDescent="0.25">
      <c r="A1708" s="1" t="str">
        <f>"1761-2020/27"</f>
        <v>1761-2020/27</v>
      </c>
      <c r="B1708" s="1" t="str">
        <f t="shared" si="309"/>
        <v>24.03.2020</v>
      </c>
      <c r="C1708" s="1" t="str">
        <f t="shared" si="301"/>
        <v>Закрито</v>
      </c>
      <c r="D1708" s="1" t="str">
        <f>"Реєстрація місця проживання особи"</f>
        <v>Реєстрація місця проживання особи</v>
      </c>
      <c r="E1708" s="1" t="str">
        <f>"Реєстрація місця проживання"</f>
        <v>Реєстрація місця проживання</v>
      </c>
      <c r="F1708" s="1" t="str">
        <f>"Відділ реєстрації Новокаховської міської ради"</f>
        <v>Відділ реєстрації Новокаховської міської ради</v>
      </c>
      <c r="G1708" s="1" t="str">
        <f>"1"</f>
        <v>1</v>
      </c>
      <c r="H1708" s="1" t="str">
        <f>"Результат"</f>
        <v>Результат</v>
      </c>
      <c r="I1708" s="1" t="str">
        <f t="shared" si="304"/>
        <v>Позитивний</v>
      </c>
      <c r="J1708" s="1" t="str">
        <f>"Так"</f>
        <v>Так</v>
      </c>
    </row>
    <row r="1709" spans="1:10" ht="45" x14ac:dyDescent="0.25">
      <c r="A1709" s="1" t="str">
        <f>"1763-2020/27"</f>
        <v>1763-2020/27</v>
      </c>
      <c r="B1709" s="1" t="str">
        <f t="shared" si="309"/>
        <v>24.03.2020</v>
      </c>
      <c r="C1709" s="1" t="str">
        <f t="shared" si="301"/>
        <v>Закрито</v>
      </c>
      <c r="D1709" s="1" t="str">
        <f>"Реєстрація місця проживання особи"</f>
        <v>Реєстрація місця проживання особи</v>
      </c>
      <c r="E1709" s="1" t="str">
        <f>"Реєстрація місця проживання"</f>
        <v>Реєстрація місця проживання</v>
      </c>
      <c r="F1709" s="1" t="str">
        <f>"Відділ реєстрації Новокаховської міської ради"</f>
        <v>Відділ реєстрації Новокаховської міської ради</v>
      </c>
      <c r="G1709" s="1" t="str">
        <f>"1"</f>
        <v>1</v>
      </c>
      <c r="H1709" s="1" t="str">
        <f>"Результат"</f>
        <v>Результат</v>
      </c>
      <c r="I1709" s="1" t="str">
        <f t="shared" si="304"/>
        <v>Позитивний</v>
      </c>
      <c r="J1709" s="1" t="str">
        <f>"Так"</f>
        <v>Так</v>
      </c>
    </row>
    <row r="1710" spans="1:10" ht="45" x14ac:dyDescent="0.25">
      <c r="A1710" s="1" t="str">
        <f>"1758-2020/27"</f>
        <v>1758-2020/27</v>
      </c>
      <c r="B1710" s="1" t="str">
        <f t="shared" si="309"/>
        <v>24.03.2020</v>
      </c>
      <c r="C1710" s="1" t="str">
        <f t="shared" si="301"/>
        <v>Закрито</v>
      </c>
      <c r="D1710" s="1" t="str">
        <f>"Реєстрація місця проживання особи"</f>
        <v>Реєстрація місця проживання особи</v>
      </c>
      <c r="E1710" s="1" t="str">
        <f>"Реєстрація місця проживання"</f>
        <v>Реєстрація місця проживання</v>
      </c>
      <c r="F1710" s="1" t="str">
        <f>"Відділ реєстрації Новокаховської міської ради"</f>
        <v>Відділ реєстрації Новокаховської міської ради</v>
      </c>
      <c r="G1710" s="1" t="str">
        <f>"1"</f>
        <v>1</v>
      </c>
      <c r="H1710" s="1" t="str">
        <f>"Результат"</f>
        <v>Результат</v>
      </c>
      <c r="I1710" s="1" t="str">
        <f t="shared" si="304"/>
        <v>Позитивний</v>
      </c>
      <c r="J1710" s="1" t="str">
        <f>"Так"</f>
        <v>Так</v>
      </c>
    </row>
    <row r="1711" spans="1:10" ht="135" x14ac:dyDescent="0.25">
      <c r="A1711" s="1" t="str">
        <f>"1768-2020/27"</f>
        <v>1768-2020/27</v>
      </c>
      <c r="B1711" s="1" t="str">
        <f t="shared" si="309"/>
        <v>24.03.2020</v>
      </c>
      <c r="C1711" s="1" t="str">
        <f t="shared" si="301"/>
        <v>Закрито</v>
      </c>
      <c r="D171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11" s="1" t="str">
        <f>"Земельні питання"</f>
        <v>Земельні питання</v>
      </c>
      <c r="F17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1" s="1" t="str">
        <f>"1"</f>
        <v>1</v>
      </c>
      <c r="H1711" s="1" t="str">
        <f>"Результат"</f>
        <v>Результат</v>
      </c>
      <c r="I1711" s="1" t="str">
        <f t="shared" si="304"/>
        <v>Позитивний</v>
      </c>
      <c r="J1711" s="1" t="str">
        <f>"Так"</f>
        <v>Так</v>
      </c>
    </row>
    <row r="1712" spans="1:10" ht="120" x14ac:dyDescent="0.25">
      <c r="A1712" s="1" t="str">
        <f>"1759-2020/27"</f>
        <v>1759-2020/27</v>
      </c>
      <c r="B1712" s="1" t="str">
        <f t="shared" si="309"/>
        <v>24.03.2020</v>
      </c>
      <c r="C1712" s="1" t="str">
        <f t="shared" si="301"/>
        <v>Закрито</v>
      </c>
      <c r="D1712" s="1" t="str">
        <f>"Видача сертифіката прийняття в експлуатацію об'єкта, що за класом наслідків (відповідальності) належить до об'єктів із середніми наслідками (СС2)"</f>
        <v>Видача сертифіката прийняття в експлуатацію об'єкта, що за класом наслідків (відповідальності) належить до об'єктів із середніми наслідками (СС2)</v>
      </c>
      <c r="E1712" s="1" t="str">
        <f>"Будівництво"</f>
        <v>Будівництво</v>
      </c>
      <c r="F171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712" s="1" t="str">
        <f>"10"</f>
        <v>10</v>
      </c>
      <c r="H1712" s="1" t="str">
        <f>"Результат"</f>
        <v>Результат</v>
      </c>
      <c r="I1712" s="1" t="str">
        <f t="shared" si="304"/>
        <v>Позитивний</v>
      </c>
      <c r="J1712" s="1" t="str">
        <f>"Ні"</f>
        <v>Ні</v>
      </c>
    </row>
    <row r="1713" spans="1:10" ht="135" x14ac:dyDescent="0.25">
      <c r="A1713" s="1" t="str">
        <f>"1766-2020/27"</f>
        <v>1766-2020/27</v>
      </c>
      <c r="B1713" s="1" t="str">
        <f t="shared" si="309"/>
        <v>24.03.2020</v>
      </c>
      <c r="C1713" s="1" t="str">
        <f t="shared" ref="C1713:C1755" si="312">"Закрито"</f>
        <v>Закрито</v>
      </c>
      <c r="D171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13" s="1" t="str">
        <f>"Земельні питання"</f>
        <v>Земельні питання</v>
      </c>
      <c r="F17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3" s="1" t="str">
        <f>"1"</f>
        <v>1</v>
      </c>
      <c r="H1713" s="1" t="str">
        <f>"Результат"</f>
        <v>Результат</v>
      </c>
      <c r="I1713" s="1" t="str">
        <f t="shared" si="304"/>
        <v>Позитивний</v>
      </c>
      <c r="J1713" s="1" t="str">
        <f>"Так"</f>
        <v>Так</v>
      </c>
    </row>
    <row r="1714" spans="1:10" ht="135" x14ac:dyDescent="0.25">
      <c r="A1714" s="1" t="str">
        <f>"1769-2020/27"</f>
        <v>1769-2020/27</v>
      </c>
      <c r="B1714" s="1" t="str">
        <f t="shared" ref="B1714:B1723" si="313">"25.03.2020"</f>
        <v>25.03.2020</v>
      </c>
      <c r="C1714" s="1" t="str">
        <f t="shared" si="312"/>
        <v>Закрито</v>
      </c>
      <c r="D171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714" s="1" t="str">
        <f>"Земельні питання"</f>
        <v>Земельні питання</v>
      </c>
      <c r="F17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4" s="1" t="str">
        <f>"14"</f>
        <v>14</v>
      </c>
      <c r="H1714" s="1" t="str">
        <f>"Результат"</f>
        <v>Результат</v>
      </c>
      <c r="I1714" s="1" t="str">
        <f t="shared" si="304"/>
        <v>Позитивний</v>
      </c>
      <c r="J1714" s="1" t="str">
        <f>"Ні"</f>
        <v>Ні</v>
      </c>
    </row>
    <row r="1715" spans="1:10" ht="135" x14ac:dyDescent="0.25">
      <c r="A1715" s="1" t="str">
        <f>"1772-2020/27"</f>
        <v>1772-2020/27</v>
      </c>
      <c r="B1715" s="1" t="str">
        <f t="shared" si="313"/>
        <v>25.03.2020</v>
      </c>
      <c r="C1715" s="1" t="str">
        <f t="shared" si="312"/>
        <v>Закрито</v>
      </c>
      <c r="D171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15" s="1" t="str">
        <f>"Земельні питання"</f>
        <v>Земельні питання</v>
      </c>
      <c r="F17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5" s="1" t="str">
        <f>"14"</f>
        <v>14</v>
      </c>
      <c r="H1715" s="1" t="str">
        <f>"Результат"</f>
        <v>Результат</v>
      </c>
      <c r="I1715" s="1" t="str">
        <f t="shared" si="304"/>
        <v>Позитивний</v>
      </c>
      <c r="J1715" s="1" t="str">
        <f>"Ні"</f>
        <v>Ні</v>
      </c>
    </row>
    <row r="1716" spans="1:10" ht="135" x14ac:dyDescent="0.25">
      <c r="A1716" s="1" t="str">
        <f>"1771-2020/27"</f>
        <v>1771-2020/27</v>
      </c>
      <c r="B1716" s="1" t="str">
        <f t="shared" si="313"/>
        <v>25.03.2020</v>
      </c>
      <c r="C1716" s="1" t="str">
        <f t="shared" si="312"/>
        <v>Закрито</v>
      </c>
      <c r="D171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16" s="1" t="str">
        <f>"Земельні питання"</f>
        <v>Земельні питання</v>
      </c>
      <c r="F17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6" s="1" t="str">
        <f>"14"</f>
        <v>14</v>
      </c>
      <c r="H1716" s="1" t="str">
        <f>"Результат"</f>
        <v>Результат</v>
      </c>
      <c r="I1716" s="1" t="str">
        <f t="shared" ref="I1716:I1728" si="314">"Позитивний"</f>
        <v>Позитивний</v>
      </c>
      <c r="J1716" s="1" t="str">
        <f>"Ні"</f>
        <v>Ні</v>
      </c>
    </row>
    <row r="1717" spans="1:10" ht="45" x14ac:dyDescent="0.25">
      <c r="A1717" s="1" t="str">
        <f>"1776-2020/27"</f>
        <v>1776-2020/27</v>
      </c>
      <c r="B1717" s="1" t="str">
        <f t="shared" si="313"/>
        <v>25.03.2020</v>
      </c>
      <c r="C1717" s="1" t="str">
        <f t="shared" si="312"/>
        <v>Закрито</v>
      </c>
      <c r="D1717" s="1" t="str">
        <f>"Зняття з реєстрації місця проживання"</f>
        <v>Зняття з реєстрації місця проживання</v>
      </c>
      <c r="E1717" s="1" t="str">
        <f>"Реєстрація місця проживання"</f>
        <v>Реєстрація місця проживання</v>
      </c>
      <c r="F1717" s="1" t="str">
        <f>"Відділ реєстрації Новокаховської міської ради"</f>
        <v>Відділ реєстрації Новокаховської міської ради</v>
      </c>
      <c r="G1717" s="1" t="str">
        <f>"1"</f>
        <v>1</v>
      </c>
      <c r="H1717" s="1" t="str">
        <f>"Результат"</f>
        <v>Результат</v>
      </c>
      <c r="I1717" s="1" t="str">
        <f t="shared" si="314"/>
        <v>Позитивний</v>
      </c>
      <c r="J1717" s="1" t="str">
        <f>"Так"</f>
        <v>Так</v>
      </c>
    </row>
    <row r="1718" spans="1:10" ht="135" x14ac:dyDescent="0.25">
      <c r="A1718" s="1" t="str">
        <f>"1778-2020/27"</f>
        <v>1778-2020/27</v>
      </c>
      <c r="B1718" s="1" t="str">
        <f t="shared" si="313"/>
        <v>25.03.2020</v>
      </c>
      <c r="C1718" s="1" t="str">
        <f t="shared" si="312"/>
        <v>Закрито</v>
      </c>
      <c r="D171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18" s="1" t="str">
        <f>"Земельні питання"</f>
        <v>Земельні питання</v>
      </c>
      <c r="F17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8" s="1" t="str">
        <f>"1"</f>
        <v>1</v>
      </c>
      <c r="H1718" s="1" t="str">
        <f>"Результат"</f>
        <v>Результат</v>
      </c>
      <c r="I1718" s="1" t="str">
        <f t="shared" si="314"/>
        <v>Позитивний</v>
      </c>
      <c r="J1718" s="1" t="str">
        <f>"Так"</f>
        <v>Так</v>
      </c>
    </row>
    <row r="1719" spans="1:10" ht="135" x14ac:dyDescent="0.25">
      <c r="A1719" s="1" t="str">
        <f>"1770-2020/27"</f>
        <v>1770-2020/27</v>
      </c>
      <c r="B1719" s="1" t="str">
        <f t="shared" si="313"/>
        <v>25.03.2020</v>
      </c>
      <c r="C1719" s="1" t="str">
        <f t="shared" si="312"/>
        <v>Закрито</v>
      </c>
      <c r="D171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719" s="1" t="str">
        <f>"Земельні питання"</f>
        <v>Земельні питання</v>
      </c>
      <c r="F17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19" s="1" t="str">
        <f>"14"</f>
        <v>14</v>
      </c>
      <c r="H1719" s="1" t="str">
        <f>"Результат"</f>
        <v>Результат</v>
      </c>
      <c r="I1719" s="1" t="str">
        <f t="shared" si="314"/>
        <v>Позитивний</v>
      </c>
      <c r="J1719" s="1" t="str">
        <f>"Ні"</f>
        <v>Ні</v>
      </c>
    </row>
    <row r="1720" spans="1:10" ht="135" x14ac:dyDescent="0.25">
      <c r="A1720" s="1" t="str">
        <f>"1774-2020/27"</f>
        <v>1774-2020/27</v>
      </c>
      <c r="B1720" s="1" t="str">
        <f t="shared" si="313"/>
        <v>25.03.2020</v>
      </c>
      <c r="C1720" s="1" t="str">
        <f t="shared" si="312"/>
        <v>Закрито</v>
      </c>
      <c r="D172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20" s="1" t="str">
        <f>"Земельні питання"</f>
        <v>Земельні питання</v>
      </c>
      <c r="F17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20" s="1" t="str">
        <f>"3"</f>
        <v>3</v>
      </c>
      <c r="H1720" s="1" t="str">
        <f>"Результат"</f>
        <v>Результат</v>
      </c>
      <c r="I1720" s="1" t="str">
        <f t="shared" si="314"/>
        <v>Позитивний</v>
      </c>
      <c r="J1720" s="1" t="str">
        <f>"Ні"</f>
        <v>Ні</v>
      </c>
    </row>
    <row r="1721" spans="1:10" ht="90" x14ac:dyDescent="0.25">
      <c r="A1721" s="1" t="str">
        <f>"1777-2020/27"</f>
        <v>1777-2020/27</v>
      </c>
      <c r="B1721" s="1" t="str">
        <f t="shared" si="313"/>
        <v>25.03.2020</v>
      </c>
      <c r="C1721" s="1" t="str">
        <f t="shared" si="312"/>
        <v>Закрито</v>
      </c>
      <c r="D172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21" s="1" t="str">
        <f>"Інші послуги"</f>
        <v>Інші послуги</v>
      </c>
      <c r="F172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21" s="1" t="str">
        <f>"5"</f>
        <v>5</v>
      </c>
      <c r="H1721" s="1" t="str">
        <f>"Результат"</f>
        <v>Результат</v>
      </c>
      <c r="I1721" s="1" t="str">
        <f t="shared" si="314"/>
        <v>Позитивний</v>
      </c>
      <c r="J1721" s="1" t="str">
        <f>"Ні"</f>
        <v>Ні</v>
      </c>
    </row>
    <row r="1722" spans="1:10" ht="45" x14ac:dyDescent="0.25">
      <c r="A1722" s="1" t="str">
        <f>"1775-2020/27"</f>
        <v>1775-2020/27</v>
      </c>
      <c r="B1722" s="1" t="str">
        <f t="shared" si="313"/>
        <v>25.03.2020</v>
      </c>
      <c r="C1722" s="1" t="str">
        <f t="shared" si="312"/>
        <v>Закрито</v>
      </c>
      <c r="D1722" s="1" t="str">
        <f>"Зняття з реєстрації місця проживання"</f>
        <v>Зняття з реєстрації місця проживання</v>
      </c>
      <c r="E1722" s="1" t="str">
        <f>"Реєстрація місця проживання"</f>
        <v>Реєстрація місця проживання</v>
      </c>
      <c r="F1722" s="1" t="str">
        <f>"Відділ реєстрації Новокаховської міської ради"</f>
        <v>Відділ реєстрації Новокаховської міської ради</v>
      </c>
      <c r="G1722" s="1" t="str">
        <f>"1"</f>
        <v>1</v>
      </c>
      <c r="H1722" s="1" t="str">
        <f>"Результат"</f>
        <v>Результат</v>
      </c>
      <c r="I1722" s="1" t="str">
        <f t="shared" si="314"/>
        <v>Позитивний</v>
      </c>
      <c r="J1722" s="1" t="str">
        <f>"Так"</f>
        <v>Так</v>
      </c>
    </row>
    <row r="1723" spans="1:10" ht="135" x14ac:dyDescent="0.25">
      <c r="A1723" s="1" t="str">
        <f>"1773-2020/27"</f>
        <v>1773-2020/27</v>
      </c>
      <c r="B1723" s="1" t="str">
        <f t="shared" si="313"/>
        <v>25.03.2020</v>
      </c>
      <c r="C1723" s="1" t="str">
        <f t="shared" si="312"/>
        <v>Закрито</v>
      </c>
      <c r="D172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23" s="1" t="str">
        <f>"Земельні питання"</f>
        <v>Земельні питання</v>
      </c>
      <c r="F17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23" s="1" t="str">
        <f>"3"</f>
        <v>3</v>
      </c>
      <c r="H1723" s="1" t="str">
        <f>"Результат"</f>
        <v>Результат</v>
      </c>
      <c r="I1723" s="1" t="str">
        <f t="shared" si="314"/>
        <v>Позитивний</v>
      </c>
      <c r="J1723" s="1" t="str">
        <f>"Ні"</f>
        <v>Ні</v>
      </c>
    </row>
    <row r="1724" spans="1:10" ht="135" x14ac:dyDescent="0.25">
      <c r="A1724" s="1" t="str">
        <f>"1781-2020/27"</f>
        <v>1781-2020/27</v>
      </c>
      <c r="B1724" s="1" t="str">
        <f t="shared" ref="B1724:B1737" si="315">"26.03.2020"</f>
        <v>26.03.2020</v>
      </c>
      <c r="C1724" s="1" t="str">
        <f t="shared" si="312"/>
        <v>Закрито</v>
      </c>
      <c r="D17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24" s="1" t="str">
        <f>"Земельні питання"</f>
        <v>Земельні питання</v>
      </c>
      <c r="F17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24" s="1" t="str">
        <f>"1"</f>
        <v>1</v>
      </c>
      <c r="H1724" s="1" t="str">
        <f>"Результат"</f>
        <v>Результат</v>
      </c>
      <c r="I1724" s="1" t="str">
        <f t="shared" si="314"/>
        <v>Позитивний</v>
      </c>
      <c r="J1724" s="1" t="str">
        <f>"Так"</f>
        <v>Так</v>
      </c>
    </row>
    <row r="1725" spans="1:10" ht="135" x14ac:dyDescent="0.25">
      <c r="A1725" s="1" t="str">
        <f>"1791-2020/27"</f>
        <v>1791-2020/27</v>
      </c>
      <c r="B1725" s="1" t="str">
        <f t="shared" si="315"/>
        <v>26.03.2020</v>
      </c>
      <c r="C1725" s="1" t="str">
        <f t="shared" si="312"/>
        <v>Закрито</v>
      </c>
      <c r="D172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25" s="1" t="str">
        <f>"Земельні питання"</f>
        <v>Земельні питання</v>
      </c>
      <c r="F17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25" s="1" t="str">
        <f>"14"</f>
        <v>14</v>
      </c>
      <c r="H1725" s="1" t="str">
        <f>"Результат"</f>
        <v>Результат</v>
      </c>
      <c r="I1725" s="1" t="str">
        <f t="shared" si="314"/>
        <v>Позитивний</v>
      </c>
      <c r="J1725" s="1" t="str">
        <f>"Ні"</f>
        <v>Ні</v>
      </c>
    </row>
    <row r="1726" spans="1:10" ht="135" x14ac:dyDescent="0.25">
      <c r="A1726" s="1" t="str">
        <f>"1790-2020/27"</f>
        <v>1790-2020/27</v>
      </c>
      <c r="B1726" s="1" t="str">
        <f t="shared" si="315"/>
        <v>26.03.2020</v>
      </c>
      <c r="C1726" s="1" t="str">
        <f t="shared" si="312"/>
        <v>Закрито</v>
      </c>
      <c r="D172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26" s="1" t="str">
        <f>"Земельні питання"</f>
        <v>Земельні питання</v>
      </c>
      <c r="F17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26" s="1" t="str">
        <f>"14"</f>
        <v>14</v>
      </c>
      <c r="H1726" s="1" t="str">
        <f>"Результат"</f>
        <v>Результат</v>
      </c>
      <c r="I1726" s="1" t="str">
        <f t="shared" si="314"/>
        <v>Позитивний</v>
      </c>
      <c r="J1726" s="1" t="str">
        <f>"Ні"</f>
        <v>Ні</v>
      </c>
    </row>
    <row r="1727" spans="1:10" ht="45" x14ac:dyDescent="0.25">
      <c r="A1727" s="1" t="str">
        <f>"1779-2020/27"</f>
        <v>1779-2020/27</v>
      </c>
      <c r="B1727" s="1" t="str">
        <f t="shared" si="315"/>
        <v>26.03.2020</v>
      </c>
      <c r="C1727" s="1" t="str">
        <f t="shared" si="312"/>
        <v>Закрито</v>
      </c>
      <c r="D1727" s="1" t="str">
        <f>"Реєстрація місця проживання особи"</f>
        <v>Реєстрація місця проживання особи</v>
      </c>
      <c r="E1727" s="1" t="str">
        <f>"Реєстрація місця проживання"</f>
        <v>Реєстрація місця проживання</v>
      </c>
      <c r="F1727" s="1" t="str">
        <f>"Відділ реєстрації Новокаховської міської ради"</f>
        <v>Відділ реєстрації Новокаховської міської ради</v>
      </c>
      <c r="G1727" s="1" t="str">
        <f t="shared" ref="G1727:G1733" si="316">"1"</f>
        <v>1</v>
      </c>
      <c r="H1727" s="1" t="str">
        <f>"Результат"</f>
        <v>Результат</v>
      </c>
      <c r="I1727" s="1" t="str">
        <f t="shared" si="314"/>
        <v>Позитивний</v>
      </c>
      <c r="J1727" s="1" t="str">
        <f t="shared" ref="J1727:J1733" si="317">"Так"</f>
        <v>Так</v>
      </c>
    </row>
    <row r="1728" spans="1:10" ht="135" x14ac:dyDescent="0.25">
      <c r="A1728" s="1" t="str">
        <f>"1789-2020/27"</f>
        <v>1789-2020/27</v>
      </c>
      <c r="B1728" s="1" t="str">
        <f t="shared" si="315"/>
        <v>26.03.2020</v>
      </c>
      <c r="C1728" s="1" t="str">
        <f t="shared" si="312"/>
        <v>Закрито</v>
      </c>
      <c r="D17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28" s="1" t="str">
        <f>"Земельні питання"</f>
        <v>Земельні питання</v>
      </c>
      <c r="F17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28" s="1" t="str">
        <f t="shared" si="316"/>
        <v>1</v>
      </c>
      <c r="H1728" s="1" t="str">
        <f>"Результат"</f>
        <v>Результат</v>
      </c>
      <c r="I1728" s="1" t="str">
        <f t="shared" si="314"/>
        <v>Позитивний</v>
      </c>
      <c r="J1728" s="1" t="str">
        <f t="shared" si="317"/>
        <v>Так</v>
      </c>
    </row>
    <row r="1729" spans="1:10" ht="45" x14ac:dyDescent="0.25">
      <c r="A1729" s="1" t="str">
        <f>"1782-2020/27"</f>
        <v>1782-2020/27</v>
      </c>
      <c r="B1729" s="1" t="str">
        <f t="shared" si="315"/>
        <v>26.03.2020</v>
      </c>
      <c r="C1729" s="1" t="str">
        <f t="shared" si="312"/>
        <v>Закрито</v>
      </c>
      <c r="D1729" s="1" t="str">
        <f>"Реєстрація місця проживання особи"</f>
        <v>Реєстрація місця проживання особи</v>
      </c>
      <c r="E1729" s="1" t="str">
        <f>"Реєстрація місця проживання"</f>
        <v>Реєстрація місця проживання</v>
      </c>
      <c r="F1729" s="1" t="str">
        <f>"Відділ реєстрації Новокаховської міської ради"</f>
        <v>Відділ реєстрації Новокаховської міської ради</v>
      </c>
      <c r="G1729" s="1" t="str">
        <f t="shared" si="316"/>
        <v>1</v>
      </c>
      <c r="H1729" s="1" t="str">
        <f>"Результат"</f>
        <v>Результат</v>
      </c>
      <c r="I1729" s="1" t="str">
        <f>"Мотивована відмова"</f>
        <v>Мотивована відмова</v>
      </c>
      <c r="J1729" s="1" t="str">
        <f t="shared" si="317"/>
        <v>Так</v>
      </c>
    </row>
    <row r="1730" spans="1:10" ht="45" x14ac:dyDescent="0.25">
      <c r="A1730" s="1" t="str">
        <f>"1787-2020/27"</f>
        <v>1787-2020/27</v>
      </c>
      <c r="B1730" s="1" t="str">
        <f t="shared" si="315"/>
        <v>26.03.2020</v>
      </c>
      <c r="C1730" s="1" t="str">
        <f t="shared" si="312"/>
        <v>Закрито</v>
      </c>
      <c r="D1730" s="1" t="str">
        <f>"Зняття з реєстрації місця проживання"</f>
        <v>Зняття з реєстрації місця проживання</v>
      </c>
      <c r="E1730" s="1" t="str">
        <f>"Реєстрація місця проживання"</f>
        <v>Реєстрація місця проживання</v>
      </c>
      <c r="F1730" s="1" t="str">
        <f>"Відділ реєстрації Новокаховської міської ради"</f>
        <v>Відділ реєстрації Новокаховської міської ради</v>
      </c>
      <c r="G1730" s="1" t="str">
        <f t="shared" si="316"/>
        <v>1</v>
      </c>
      <c r="H1730" s="1" t="str">
        <f>"Результат"</f>
        <v>Результат</v>
      </c>
      <c r="I1730" s="1" t="str">
        <f>"Позитивний"</f>
        <v>Позитивний</v>
      </c>
      <c r="J1730" s="1" t="str">
        <f t="shared" si="317"/>
        <v>Так</v>
      </c>
    </row>
    <row r="1731" spans="1:10" ht="45" x14ac:dyDescent="0.25">
      <c r="A1731" s="1" t="str">
        <f>"1786-2020/27"</f>
        <v>1786-2020/27</v>
      </c>
      <c r="B1731" s="1" t="str">
        <f t="shared" si="315"/>
        <v>26.03.2020</v>
      </c>
      <c r="C1731" s="1" t="str">
        <f t="shared" si="312"/>
        <v>Закрито</v>
      </c>
      <c r="D1731" s="1" t="str">
        <f>"Зняття з реєстрації місця проживання"</f>
        <v>Зняття з реєстрації місця проживання</v>
      </c>
      <c r="E1731" s="1" t="str">
        <f>"Реєстрація місця проживання"</f>
        <v>Реєстрація місця проживання</v>
      </c>
      <c r="F1731" s="1" t="str">
        <f>"Відділ реєстрації Новокаховської міської ради"</f>
        <v>Відділ реєстрації Новокаховської міської ради</v>
      </c>
      <c r="G1731" s="1" t="str">
        <f t="shared" si="316"/>
        <v>1</v>
      </c>
      <c r="H1731" s="1" t="str">
        <f>"Результат"</f>
        <v>Результат</v>
      </c>
      <c r="I1731" s="1" t="str">
        <f>"Позитивний"</f>
        <v>Позитивний</v>
      </c>
      <c r="J1731" s="1" t="str">
        <f t="shared" si="317"/>
        <v>Так</v>
      </c>
    </row>
    <row r="1732" spans="1:10" ht="45" x14ac:dyDescent="0.25">
      <c r="A1732" s="1" t="str">
        <f>"1784-2020/27"</f>
        <v>1784-2020/27</v>
      </c>
      <c r="B1732" s="1" t="str">
        <f t="shared" si="315"/>
        <v>26.03.2020</v>
      </c>
      <c r="C1732" s="1" t="str">
        <f t="shared" si="312"/>
        <v>Закрито</v>
      </c>
      <c r="D1732" s="1" t="str">
        <f>"Реєстрація місця проживання особи"</f>
        <v>Реєстрація місця проживання особи</v>
      </c>
      <c r="E1732" s="1" t="str">
        <f>"Реєстрація місця проживання"</f>
        <v>Реєстрація місця проживання</v>
      </c>
      <c r="F1732" s="1" t="str">
        <f>"Відділ реєстрації Новокаховської міської ради"</f>
        <v>Відділ реєстрації Новокаховської міської ради</v>
      </c>
      <c r="G1732" s="1" t="str">
        <f t="shared" si="316"/>
        <v>1</v>
      </c>
      <c r="H1732" s="1" t="str">
        <f>"Результат"</f>
        <v>Результат</v>
      </c>
      <c r="I1732" s="1" t="str">
        <f>"Мотивована відмова"</f>
        <v>Мотивована відмова</v>
      </c>
      <c r="J1732" s="1" t="str">
        <f t="shared" si="317"/>
        <v>Так</v>
      </c>
    </row>
    <row r="1733" spans="1:10" ht="45" x14ac:dyDescent="0.25">
      <c r="A1733" s="1" t="str">
        <f>"1780-2020/27"</f>
        <v>1780-2020/27</v>
      </c>
      <c r="B1733" s="1" t="str">
        <f t="shared" si="315"/>
        <v>26.03.2020</v>
      </c>
      <c r="C1733" s="1" t="str">
        <f t="shared" si="312"/>
        <v>Закрито</v>
      </c>
      <c r="D1733" s="1" t="str">
        <f>"Реєстрація місця проживання особи"</f>
        <v>Реєстрація місця проживання особи</v>
      </c>
      <c r="E1733" s="1" t="str">
        <f>"Реєстрація місця проживання"</f>
        <v>Реєстрація місця проживання</v>
      </c>
      <c r="F1733" s="1" t="str">
        <f>"Відділ реєстрації Новокаховської міської ради"</f>
        <v>Відділ реєстрації Новокаховської міської ради</v>
      </c>
      <c r="G1733" s="1" t="str">
        <f t="shared" si="316"/>
        <v>1</v>
      </c>
      <c r="H1733" s="1" t="str">
        <f>"Результат"</f>
        <v>Результат</v>
      </c>
      <c r="I1733" s="1" t="str">
        <f>"Позитивний"</f>
        <v>Позитивний</v>
      </c>
      <c r="J1733" s="1" t="str">
        <f t="shared" si="317"/>
        <v>Так</v>
      </c>
    </row>
    <row r="1734" spans="1:10" ht="135" x14ac:dyDescent="0.25">
      <c r="A1734" s="1" t="str">
        <f>"1783-2020/27"</f>
        <v>1783-2020/27</v>
      </c>
      <c r="B1734" s="1" t="str">
        <f t="shared" si="315"/>
        <v>26.03.2020</v>
      </c>
      <c r="C1734" s="1" t="str">
        <f t="shared" si="312"/>
        <v>Закрито</v>
      </c>
      <c r="D173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34" s="1" t="str">
        <f>"Земельні питання"</f>
        <v>Земельні питання</v>
      </c>
      <c r="F17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34" s="1" t="str">
        <f>"14"</f>
        <v>14</v>
      </c>
      <c r="H1734" s="1" t="str">
        <f>"Результат"</f>
        <v>Результат</v>
      </c>
      <c r="I1734" s="1" t="str">
        <f>"Позитивний"</f>
        <v>Позитивний</v>
      </c>
      <c r="J1734" s="1" t="str">
        <f>"Ні"</f>
        <v>Ні</v>
      </c>
    </row>
    <row r="1735" spans="1:10" ht="135" x14ac:dyDescent="0.25">
      <c r="A1735" s="1" t="str">
        <f>"1792-2020/27"</f>
        <v>1792-2020/27</v>
      </c>
      <c r="B1735" s="1" t="str">
        <f t="shared" si="315"/>
        <v>26.03.2020</v>
      </c>
      <c r="C1735" s="1" t="str">
        <f t="shared" si="312"/>
        <v>Закрито</v>
      </c>
      <c r="D173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35" s="1" t="str">
        <f>"Земельні питання"</f>
        <v>Земельні питання</v>
      </c>
      <c r="F17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35" s="1" t="str">
        <f>"14"</f>
        <v>14</v>
      </c>
      <c r="H1735" s="1" t="str">
        <f>"Результат"</f>
        <v>Результат</v>
      </c>
      <c r="I1735" s="1" t="str">
        <f>"Позитивний"</f>
        <v>Позитивний</v>
      </c>
      <c r="J1735" s="1" t="str">
        <f>"Ні"</f>
        <v>Ні</v>
      </c>
    </row>
    <row r="1736" spans="1:10" ht="45" x14ac:dyDescent="0.25">
      <c r="A1736" s="1" t="str">
        <f>"1785-2020/27"</f>
        <v>1785-2020/27</v>
      </c>
      <c r="B1736" s="1" t="str">
        <f t="shared" si="315"/>
        <v>26.03.2020</v>
      </c>
      <c r="C1736" s="1" t="str">
        <f t="shared" si="312"/>
        <v>Закрито</v>
      </c>
      <c r="D1736" s="1" t="str">
        <f>"Реєстрація місця проживання особи"</f>
        <v>Реєстрація місця проживання особи</v>
      </c>
      <c r="E1736" s="1" t="str">
        <f>"Реєстрація місця проживання"</f>
        <v>Реєстрація місця проживання</v>
      </c>
      <c r="F1736" s="1" t="str">
        <f>"Відділ реєстрації Новокаховської міської ради"</f>
        <v>Відділ реєстрації Новокаховської міської ради</v>
      </c>
      <c r="G1736" s="1" t="str">
        <f>"1"</f>
        <v>1</v>
      </c>
      <c r="H1736" s="1" t="str">
        <f>"Результат"</f>
        <v>Результат</v>
      </c>
      <c r="I1736" s="1" t="str">
        <f>"Мотивована відмова"</f>
        <v>Мотивована відмова</v>
      </c>
      <c r="J1736" s="1" t="str">
        <f>"Так"</f>
        <v>Так</v>
      </c>
    </row>
    <row r="1737" spans="1:10" ht="45" x14ac:dyDescent="0.25">
      <c r="A1737" s="1" t="str">
        <f>"1788-2020/27"</f>
        <v>1788-2020/27</v>
      </c>
      <c r="B1737" s="1" t="str">
        <f t="shared" si="315"/>
        <v>26.03.2020</v>
      </c>
      <c r="C1737" s="1" t="str">
        <f t="shared" si="312"/>
        <v>Закрито</v>
      </c>
      <c r="D1737" s="1" t="str">
        <f>"Зняття з реєстрації місця проживання"</f>
        <v>Зняття з реєстрації місця проживання</v>
      </c>
      <c r="E1737" s="1" t="str">
        <f>"Реєстрація місця проживання"</f>
        <v>Реєстрація місця проживання</v>
      </c>
      <c r="F1737" s="1" t="str">
        <f>"Відділ реєстрації Новокаховської міської ради"</f>
        <v>Відділ реєстрації Новокаховської міської ради</v>
      </c>
      <c r="G1737" s="1" t="str">
        <f>"1"</f>
        <v>1</v>
      </c>
      <c r="H1737" s="1" t="str">
        <f>"Результат"</f>
        <v>Результат</v>
      </c>
      <c r="I1737" s="1" t="str">
        <f t="shared" ref="I1737:I1745" si="318">"Позитивний"</f>
        <v>Позитивний</v>
      </c>
      <c r="J1737" s="1" t="str">
        <f>"Так"</f>
        <v>Так</v>
      </c>
    </row>
    <row r="1738" spans="1:10" ht="90" x14ac:dyDescent="0.25">
      <c r="A1738" s="1" t="str">
        <f>"1798-2020/27"</f>
        <v>1798-2020/27</v>
      </c>
      <c r="B1738" s="1" t="str">
        <f t="shared" ref="B1738:B1743" si="319">"27.03.2020"</f>
        <v>27.03.2020</v>
      </c>
      <c r="C1738" s="1" t="str">
        <f t="shared" si="312"/>
        <v>Закрито</v>
      </c>
      <c r="D173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38" s="1" t="str">
        <f>"Інші послуги"</f>
        <v>Інші послуги</v>
      </c>
      <c r="F173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38" s="1" t="str">
        <f>"5"</f>
        <v>5</v>
      </c>
      <c r="H1738" s="1" t="str">
        <f>"Результат"</f>
        <v>Результат</v>
      </c>
      <c r="I1738" s="1" t="str">
        <f t="shared" si="318"/>
        <v>Позитивний</v>
      </c>
      <c r="J1738" s="1" t="str">
        <f>"Ні"</f>
        <v>Ні</v>
      </c>
    </row>
    <row r="1739" spans="1:10" ht="45" x14ac:dyDescent="0.25">
      <c r="A1739" s="1" t="str">
        <f>"1794-2020/27"</f>
        <v>1794-2020/27</v>
      </c>
      <c r="B1739" s="1" t="str">
        <f t="shared" si="319"/>
        <v>27.03.2020</v>
      </c>
      <c r="C1739" s="1" t="str">
        <f t="shared" si="312"/>
        <v>Закрито</v>
      </c>
      <c r="D1739" s="1" t="str">
        <f>"Зняття з реєстрації місця проживання"</f>
        <v>Зняття з реєстрації місця проживання</v>
      </c>
      <c r="E1739" s="1" t="str">
        <f>"Реєстрація місця проживання"</f>
        <v>Реєстрація місця проживання</v>
      </c>
      <c r="F1739" s="1" t="str">
        <f>"Відділ реєстрації Новокаховської міської ради"</f>
        <v>Відділ реєстрації Новокаховської міської ради</v>
      </c>
      <c r="G1739" s="1" t="str">
        <f>"1"</f>
        <v>1</v>
      </c>
      <c r="H1739" s="1" t="str">
        <f>"Результат"</f>
        <v>Результат</v>
      </c>
      <c r="I1739" s="1" t="str">
        <f t="shared" si="318"/>
        <v>Позитивний</v>
      </c>
      <c r="J1739" s="1" t="str">
        <f>"Так"</f>
        <v>Так</v>
      </c>
    </row>
    <row r="1740" spans="1:10" ht="105" x14ac:dyDescent="0.25">
      <c r="A1740" s="1" t="str">
        <f>"1797-2020/27"</f>
        <v>1797-2020/27</v>
      </c>
      <c r="B1740" s="1" t="str">
        <f t="shared" si="319"/>
        <v>27.03.2020</v>
      </c>
      <c r="C1740" s="1" t="str">
        <f t="shared" si="312"/>
        <v>Закрито</v>
      </c>
      <c r="D174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40" s="1" t="str">
        <f>"Земельні питання"</f>
        <v>Земельні питання</v>
      </c>
      <c r="F174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740" s="1" t="str">
        <f>"1"</f>
        <v>1</v>
      </c>
      <c r="H1740" s="1" t="str">
        <f>"Результат"</f>
        <v>Результат</v>
      </c>
      <c r="I1740" s="1" t="str">
        <f t="shared" si="318"/>
        <v>Позитивний</v>
      </c>
      <c r="J1740" s="1" t="str">
        <f>"Так"</f>
        <v>Так</v>
      </c>
    </row>
    <row r="1741" spans="1:10" ht="105" x14ac:dyDescent="0.25">
      <c r="A1741" s="1" t="str">
        <f>"1796-2020/27"</f>
        <v>1796-2020/27</v>
      </c>
      <c r="B1741" s="1" t="str">
        <f t="shared" si="319"/>
        <v>27.03.2020</v>
      </c>
      <c r="C1741" s="1" t="str">
        <f t="shared" si="312"/>
        <v>Закрито</v>
      </c>
      <c r="D174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41" s="1" t="str">
        <f>"Земельні питання"</f>
        <v>Земельні питання</v>
      </c>
      <c r="F174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741" s="1" t="str">
        <f>"1"</f>
        <v>1</v>
      </c>
      <c r="H1741" s="1" t="str">
        <f>"Результат"</f>
        <v>Результат</v>
      </c>
      <c r="I1741" s="1" t="str">
        <f t="shared" si="318"/>
        <v>Позитивний</v>
      </c>
      <c r="J1741" s="1" t="str">
        <f>"Так"</f>
        <v>Так</v>
      </c>
    </row>
    <row r="1742" spans="1:10" ht="135" x14ac:dyDescent="0.25">
      <c r="A1742" s="1" t="str">
        <f>"1793-2020/27"</f>
        <v>1793-2020/27</v>
      </c>
      <c r="B1742" s="1" t="str">
        <f t="shared" si="319"/>
        <v>27.03.2020</v>
      </c>
      <c r="C1742" s="1" t="str">
        <f t="shared" si="312"/>
        <v>Закрито</v>
      </c>
      <c r="D174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42" s="1" t="str">
        <f>"Земельні питання"</f>
        <v>Земельні питання</v>
      </c>
      <c r="F17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42" s="1" t="str">
        <f>"3"</f>
        <v>3</v>
      </c>
      <c r="H1742" s="1" t="str">
        <f>"Результат"</f>
        <v>Результат</v>
      </c>
      <c r="I1742" s="1" t="str">
        <f t="shared" si="318"/>
        <v>Позитивний</v>
      </c>
      <c r="J1742" s="1" t="str">
        <f>"Ні"</f>
        <v>Ні</v>
      </c>
    </row>
    <row r="1743" spans="1:10" ht="45" x14ac:dyDescent="0.25">
      <c r="A1743" s="1" t="str">
        <f>"1795-2020/27"</f>
        <v>1795-2020/27</v>
      </c>
      <c r="B1743" s="1" t="str">
        <f t="shared" si="319"/>
        <v>27.03.2020</v>
      </c>
      <c r="C1743" s="1" t="str">
        <f t="shared" si="312"/>
        <v>Закрито</v>
      </c>
      <c r="D1743" s="1" t="str">
        <f>"Реєстрація місця проживання особи"</f>
        <v>Реєстрація місця проживання особи</v>
      </c>
      <c r="E1743" s="1" t="str">
        <f>"Реєстрація місця проживання"</f>
        <v>Реєстрація місця проживання</v>
      </c>
      <c r="F1743" s="1" t="str">
        <f>"Відділ реєстрації Новокаховської міської ради"</f>
        <v>Відділ реєстрації Новокаховської міської ради</v>
      </c>
      <c r="G1743" s="1" t="str">
        <f>"1"</f>
        <v>1</v>
      </c>
      <c r="H1743" s="1" t="str">
        <f>"Результат"</f>
        <v>Результат</v>
      </c>
      <c r="I1743" s="1" t="str">
        <f t="shared" si="318"/>
        <v>Позитивний</v>
      </c>
      <c r="J1743" s="1" t="str">
        <f>"Так"</f>
        <v>Так</v>
      </c>
    </row>
    <row r="1744" spans="1:10" ht="45" x14ac:dyDescent="0.25">
      <c r="A1744" s="1" t="str">
        <f>"1805-2020/27"</f>
        <v>1805-2020/27</v>
      </c>
      <c r="B1744" s="1" t="str">
        <f t="shared" ref="B1744:B1755" si="320">"30.03.2020"</f>
        <v>30.03.2020</v>
      </c>
      <c r="C1744" s="1" t="str">
        <f t="shared" si="312"/>
        <v>Закрито</v>
      </c>
      <c r="D1744" s="1" t="str">
        <f>"Реєстрація місця проживання особи"</f>
        <v>Реєстрація місця проживання особи</v>
      </c>
      <c r="E1744" s="1" t="str">
        <f>"Реєстрація місця проживання"</f>
        <v>Реєстрація місця проживання</v>
      </c>
      <c r="F1744" s="1" t="str">
        <f>"Відділ реєстрації Новокаховської міської ради"</f>
        <v>Відділ реєстрації Новокаховської міської ради</v>
      </c>
      <c r="G1744" s="1" t="str">
        <f>"1"</f>
        <v>1</v>
      </c>
      <c r="H1744" s="1" t="str">
        <f>"Результат"</f>
        <v>Результат</v>
      </c>
      <c r="I1744" s="1" t="str">
        <f t="shared" si="318"/>
        <v>Позитивний</v>
      </c>
      <c r="J1744" s="1" t="str">
        <f>"Так"</f>
        <v>Так</v>
      </c>
    </row>
    <row r="1745" spans="1:10" ht="135" x14ac:dyDescent="0.25">
      <c r="A1745" s="1" t="str">
        <f>"1799-2020/27"</f>
        <v>1799-2020/27</v>
      </c>
      <c r="B1745" s="1" t="str">
        <f t="shared" si="320"/>
        <v>30.03.2020</v>
      </c>
      <c r="C1745" s="1" t="str">
        <f t="shared" si="312"/>
        <v>Закрито</v>
      </c>
      <c r="D174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45" s="1" t="str">
        <f>"Земельні питання"</f>
        <v>Земельні питання</v>
      </c>
      <c r="F17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45" s="1" t="str">
        <f>"1"</f>
        <v>1</v>
      </c>
      <c r="H1745" s="1" t="str">
        <f>"Результат"</f>
        <v>Результат</v>
      </c>
      <c r="I1745" s="1" t="str">
        <f t="shared" si="318"/>
        <v>Позитивний</v>
      </c>
      <c r="J1745" s="1" t="str">
        <f>"Так"</f>
        <v>Так</v>
      </c>
    </row>
    <row r="1746" spans="1:10" ht="90" x14ac:dyDescent="0.25">
      <c r="A1746" s="1" t="str">
        <f>"1809-2020/27"</f>
        <v>1809-2020/27</v>
      </c>
      <c r="B1746" s="1" t="str">
        <f t="shared" si="320"/>
        <v>30.03.2020</v>
      </c>
      <c r="C1746" s="1" t="str">
        <f t="shared" si="312"/>
        <v>Закрито</v>
      </c>
      <c r="D174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46" s="1" t="str">
        <f>"Інші послуги"</f>
        <v>Інші послуги</v>
      </c>
      <c r="F174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46" s="1" t="str">
        <f>"5"</f>
        <v>5</v>
      </c>
      <c r="H1746" s="1" t="str">
        <f>"Результат"</f>
        <v>Результат</v>
      </c>
      <c r="I1746" s="1" t="str">
        <f>"Мотивована відмова"</f>
        <v>Мотивована відмова</v>
      </c>
      <c r="J1746" s="1" t="str">
        <f>"Ні"</f>
        <v>Ні</v>
      </c>
    </row>
    <row r="1747" spans="1:10" ht="105" x14ac:dyDescent="0.25">
      <c r="A1747" s="1" t="str">
        <f>"1804-2020/27"</f>
        <v>1804-2020/27</v>
      </c>
      <c r="B1747" s="1" t="str">
        <f t="shared" si="320"/>
        <v>30.03.2020</v>
      </c>
      <c r="C1747" s="1" t="str">
        <f t="shared" si="312"/>
        <v>Закрито</v>
      </c>
      <c r="D174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47" s="1" t="str">
        <f>"Земельні питання"</f>
        <v>Земельні питання</v>
      </c>
      <c r="F174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747" s="1" t="str">
        <f>"1"</f>
        <v>1</v>
      </c>
      <c r="H1747" s="1" t="str">
        <f>"Результат"</f>
        <v>Результат</v>
      </c>
      <c r="I1747" s="1" t="str">
        <f>"Позитивний"</f>
        <v>Позитивний</v>
      </c>
      <c r="J1747" s="1" t="str">
        <f>"Так"</f>
        <v>Так</v>
      </c>
    </row>
    <row r="1748" spans="1:10" ht="45" x14ac:dyDescent="0.25">
      <c r="A1748" s="1" t="str">
        <f>"1803-2020/27"</f>
        <v>1803-2020/27</v>
      </c>
      <c r="B1748" s="1" t="str">
        <f t="shared" si="320"/>
        <v>30.03.2020</v>
      </c>
      <c r="C1748" s="1" t="str">
        <f t="shared" si="312"/>
        <v>Закрито</v>
      </c>
      <c r="D1748" s="1" t="str">
        <f>"Реєстрація місця проживання особи"</f>
        <v>Реєстрація місця проживання особи</v>
      </c>
      <c r="E1748" s="1" t="str">
        <f>"Реєстрація місця проживання"</f>
        <v>Реєстрація місця проживання</v>
      </c>
      <c r="F1748" s="1" t="str">
        <f>"Відділ реєстрації Новокаховської міської ради"</f>
        <v>Відділ реєстрації Новокаховської міської ради</v>
      </c>
      <c r="G1748" s="1" t="str">
        <f>"1"</f>
        <v>1</v>
      </c>
      <c r="H1748" s="1" t="str">
        <f>"Результат"</f>
        <v>Результат</v>
      </c>
      <c r="I1748" s="1" t="str">
        <f>"Позитивний"</f>
        <v>Позитивний</v>
      </c>
      <c r="J1748" s="1" t="str">
        <f>"Так"</f>
        <v>Так</v>
      </c>
    </row>
    <row r="1749" spans="1:10" ht="135" x14ac:dyDescent="0.25">
      <c r="A1749" s="1" t="str">
        <f>"1800-2020/27"</f>
        <v>1800-2020/27</v>
      </c>
      <c r="B1749" s="1" t="str">
        <f t="shared" si="320"/>
        <v>30.03.2020</v>
      </c>
      <c r="C1749" s="1" t="str">
        <f t="shared" si="312"/>
        <v>Закрито</v>
      </c>
      <c r="D174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49" s="1" t="str">
        <f>"Земельні питання"</f>
        <v>Земельні питання</v>
      </c>
      <c r="F17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49" s="1" t="str">
        <f>"3"</f>
        <v>3</v>
      </c>
      <c r="H1749" s="1" t="str">
        <f>"Результат"</f>
        <v>Результат</v>
      </c>
      <c r="I1749" s="1" t="str">
        <f>"Мотивована відмова"</f>
        <v>Мотивована відмова</v>
      </c>
      <c r="J1749" s="1" t="str">
        <f>"Ні"</f>
        <v>Ні</v>
      </c>
    </row>
    <row r="1750" spans="1:10" ht="45" x14ac:dyDescent="0.25">
      <c r="A1750" s="1" t="str">
        <f>"1806-2020/27"</f>
        <v>1806-2020/27</v>
      </c>
      <c r="B1750" s="1" t="str">
        <f t="shared" si="320"/>
        <v>30.03.2020</v>
      </c>
      <c r="C1750" s="1" t="str">
        <f t="shared" si="312"/>
        <v>Закрито</v>
      </c>
      <c r="D1750" s="1" t="str">
        <f>"Реєстрація місця проживання особи"</f>
        <v>Реєстрація місця проживання особи</v>
      </c>
      <c r="E1750" s="1" t="str">
        <f>"Реєстрація місця проживання"</f>
        <v>Реєстрація місця проживання</v>
      </c>
      <c r="F1750" s="1" t="str">
        <f>"Відділ реєстрації Новокаховської міської ради"</f>
        <v>Відділ реєстрації Новокаховської міської ради</v>
      </c>
      <c r="G1750" s="1" t="str">
        <f>"1"</f>
        <v>1</v>
      </c>
      <c r="H1750" s="1" t="str">
        <f>"Результат"</f>
        <v>Результат</v>
      </c>
      <c r="I1750" s="1" t="str">
        <f t="shared" ref="I1750:I1755" si="321">"Позитивний"</f>
        <v>Позитивний</v>
      </c>
      <c r="J1750" s="1" t="str">
        <f>"Так"</f>
        <v>Так</v>
      </c>
    </row>
    <row r="1751" spans="1:10" ht="135" x14ac:dyDescent="0.25">
      <c r="A1751" s="1" t="str">
        <f>"1801-2020/27"</f>
        <v>1801-2020/27</v>
      </c>
      <c r="B1751" s="1" t="str">
        <f t="shared" si="320"/>
        <v>30.03.2020</v>
      </c>
      <c r="C1751" s="1" t="str">
        <f t="shared" si="312"/>
        <v>Закрито</v>
      </c>
      <c r="D175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51" s="1" t="str">
        <f>"Земельні питання"</f>
        <v>Земельні питання</v>
      </c>
      <c r="F17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51" s="1" t="str">
        <f>"1"</f>
        <v>1</v>
      </c>
      <c r="H1751" s="1" t="str">
        <f>"Результат"</f>
        <v>Результат</v>
      </c>
      <c r="I1751" s="1" t="str">
        <f t="shared" si="321"/>
        <v>Позитивний</v>
      </c>
      <c r="J1751" s="1" t="str">
        <f>"Так"</f>
        <v>Так</v>
      </c>
    </row>
    <row r="1752" spans="1:10" ht="45" x14ac:dyDescent="0.25">
      <c r="A1752" s="1" t="str">
        <f>"1807-2020/27"</f>
        <v>1807-2020/27</v>
      </c>
      <c r="B1752" s="1" t="str">
        <f t="shared" si="320"/>
        <v>30.03.2020</v>
      </c>
      <c r="C1752" s="1" t="str">
        <f t="shared" si="312"/>
        <v>Закрито</v>
      </c>
      <c r="D1752" s="1" t="str">
        <f>"Реєстрація місця проживання особи"</f>
        <v>Реєстрація місця проживання особи</v>
      </c>
      <c r="E1752" s="1" t="str">
        <f>"Реєстрація місця проживання"</f>
        <v>Реєстрація місця проживання</v>
      </c>
      <c r="F1752" s="1" t="str">
        <f>"Відділ реєстрації Новокаховської міської ради"</f>
        <v>Відділ реєстрації Новокаховської міської ради</v>
      </c>
      <c r="G1752" s="1" t="str">
        <f>"1"</f>
        <v>1</v>
      </c>
      <c r="H1752" s="1" t="str">
        <f>"Результат"</f>
        <v>Результат</v>
      </c>
      <c r="I1752" s="1" t="str">
        <f t="shared" si="321"/>
        <v>Позитивний</v>
      </c>
      <c r="J1752" s="1" t="str">
        <f>"Так"</f>
        <v>Так</v>
      </c>
    </row>
    <row r="1753" spans="1:10" ht="90" x14ac:dyDescent="0.25">
      <c r="A1753" s="1" t="str">
        <f>"1810-2020/27"</f>
        <v>1810-2020/27</v>
      </c>
      <c r="B1753" s="1" t="str">
        <f t="shared" si="320"/>
        <v>30.03.2020</v>
      </c>
      <c r="C1753" s="1" t="str">
        <f t="shared" si="312"/>
        <v>Закрито</v>
      </c>
      <c r="D175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53" s="1" t="str">
        <f>"Інші послуги"</f>
        <v>Інші послуги</v>
      </c>
      <c r="F175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53" s="1" t="str">
        <f>"5"</f>
        <v>5</v>
      </c>
      <c r="H1753" s="1" t="str">
        <f>"Результат"</f>
        <v>Результат</v>
      </c>
      <c r="I1753" s="1" t="str">
        <f t="shared" si="321"/>
        <v>Позитивний</v>
      </c>
      <c r="J1753" s="1" t="str">
        <f>"Ні"</f>
        <v>Ні</v>
      </c>
    </row>
    <row r="1754" spans="1:10" ht="45" x14ac:dyDescent="0.25">
      <c r="A1754" s="1" t="str">
        <f>"1808-2020/27"</f>
        <v>1808-2020/27</v>
      </c>
      <c r="B1754" s="1" t="str">
        <f t="shared" si="320"/>
        <v>30.03.2020</v>
      </c>
      <c r="C1754" s="1" t="str">
        <f t="shared" si="312"/>
        <v>Закрито</v>
      </c>
      <c r="D1754" s="1" t="str">
        <f>"Зняття з реєстрації місця проживання"</f>
        <v>Зняття з реєстрації місця проживання</v>
      </c>
      <c r="E1754" s="1" t="str">
        <f>"Реєстрація місця проживання"</f>
        <v>Реєстрація місця проживання</v>
      </c>
      <c r="F1754" s="1" t="str">
        <f>"Відділ реєстрації Новокаховської міської ради"</f>
        <v>Відділ реєстрації Новокаховської міської ради</v>
      </c>
      <c r="G1754" s="1" t="str">
        <f>"1"</f>
        <v>1</v>
      </c>
      <c r="H1754" s="1" t="str">
        <f>"Результат"</f>
        <v>Результат</v>
      </c>
      <c r="I1754" s="1" t="str">
        <f t="shared" si="321"/>
        <v>Позитивний</v>
      </c>
      <c r="J1754" s="1" t="str">
        <f>"Так"</f>
        <v>Так</v>
      </c>
    </row>
    <row r="1755" spans="1:10" ht="45" x14ac:dyDescent="0.25">
      <c r="A1755" s="1" t="str">
        <f>"1802-2020/27"</f>
        <v>1802-2020/27</v>
      </c>
      <c r="B1755" s="1" t="str">
        <f t="shared" si="320"/>
        <v>30.03.2020</v>
      </c>
      <c r="C1755" s="1" t="str">
        <f t="shared" si="312"/>
        <v>Закрито</v>
      </c>
      <c r="D1755" s="1" t="str">
        <f>"Реєстрація місця проживання особи"</f>
        <v>Реєстрація місця проживання особи</v>
      </c>
      <c r="E1755" s="1" t="str">
        <f>"Реєстрація місця проживання"</f>
        <v>Реєстрація місця проживання</v>
      </c>
      <c r="F1755" s="1" t="str">
        <f>"Відділ реєстрації Новокаховської міської ради"</f>
        <v>Відділ реєстрації Новокаховської міської ради</v>
      </c>
      <c r="G1755" s="1" t="str">
        <f>"1"</f>
        <v>1</v>
      </c>
      <c r="H1755" s="1" t="str">
        <f>"Результат"</f>
        <v>Результат</v>
      </c>
      <c r="I1755" s="1" t="str">
        <f t="shared" si="321"/>
        <v>Позитивний</v>
      </c>
      <c r="J1755" s="1" t="str">
        <f>"Так"</f>
        <v>Так</v>
      </c>
    </row>
    <row r="1756" spans="1:10" ht="75" x14ac:dyDescent="0.25">
      <c r="A1756" s="1" t="str">
        <f>"1816-2020/27"</f>
        <v>1816-2020/27</v>
      </c>
      <c r="B1756" s="1" t="str">
        <f t="shared" ref="B1756:B1764" si="322">"31.03.2020"</f>
        <v>31.03.2020</v>
      </c>
      <c r="C1756" s="1" t="str">
        <f>"На обробці в адмін. органі"</f>
        <v>На обробці в адмін. органі</v>
      </c>
      <c r="D1756" s="1" t="str">
        <f>"Видача дозволу на розміщення зовнішньої реклами"</f>
        <v>Видача дозволу на розміщення зовнішньої реклами</v>
      </c>
      <c r="E1756" s="1" t="str">
        <f>"Зовнішня реклама"</f>
        <v>Зовнішня реклама</v>
      </c>
      <c r="F1756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756" s="1" t="str">
        <f>"30"</f>
        <v>30</v>
      </c>
      <c r="H1756" s="1" t="str">
        <f>""</f>
        <v/>
      </c>
      <c r="I1756" s="1" t="str">
        <f>""</f>
        <v/>
      </c>
      <c r="J1756" s="1" t="str">
        <f>"Ні"</f>
        <v>Ні</v>
      </c>
    </row>
    <row r="1757" spans="1:10" ht="75" x14ac:dyDescent="0.25">
      <c r="A1757" s="1" t="str">
        <f>"1815-2020/27"</f>
        <v>1815-2020/27</v>
      </c>
      <c r="B1757" s="1" t="str">
        <f t="shared" si="322"/>
        <v>31.03.2020</v>
      </c>
      <c r="C1757" s="1" t="str">
        <f>"На обробці в адмін. органі"</f>
        <v>На обробці в адмін. органі</v>
      </c>
      <c r="D1757" s="1" t="str">
        <f>"Видача дозволу на розміщення зовнішньої реклами"</f>
        <v>Видача дозволу на розміщення зовнішньої реклами</v>
      </c>
      <c r="E1757" s="1" t="str">
        <f>"Будівництво"</f>
        <v>Будівництво</v>
      </c>
      <c r="F1757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757" s="1" t="str">
        <f>"30"</f>
        <v>30</v>
      </c>
      <c r="H1757" s="1" t="str">
        <f>""</f>
        <v/>
      </c>
      <c r="I1757" s="1" t="str">
        <f>""</f>
        <v/>
      </c>
      <c r="J1757" s="1" t="str">
        <f>"Ні"</f>
        <v>Ні</v>
      </c>
    </row>
    <row r="1758" spans="1:10" ht="75" x14ac:dyDescent="0.25">
      <c r="A1758" s="1" t="str">
        <f>"1818-2020/27"</f>
        <v>1818-2020/27</v>
      </c>
      <c r="B1758" s="1" t="str">
        <f t="shared" si="322"/>
        <v>31.03.2020</v>
      </c>
      <c r="C1758" s="1" t="str">
        <f>"На обробці в адмін. органі"</f>
        <v>На обробці в адмін. органі</v>
      </c>
      <c r="D1758" s="1" t="str">
        <f>"Видача дозволу на розміщення зовнішньої реклами"</f>
        <v>Видача дозволу на розміщення зовнішньої реклами</v>
      </c>
      <c r="E1758" s="1" t="str">
        <f>"Зовнішня реклама"</f>
        <v>Зовнішня реклама</v>
      </c>
      <c r="F1758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758" s="1" t="str">
        <f>"30"</f>
        <v>30</v>
      </c>
      <c r="H1758" s="1" t="str">
        <f>""</f>
        <v/>
      </c>
      <c r="I1758" s="1" t="str">
        <f>""</f>
        <v/>
      </c>
      <c r="J1758" s="1" t="str">
        <f>"Ні"</f>
        <v>Ні</v>
      </c>
    </row>
    <row r="1759" spans="1:10" ht="45" x14ac:dyDescent="0.25">
      <c r="A1759" s="1" t="str">
        <f>"1811-2020/27"</f>
        <v>1811-2020/27</v>
      </c>
      <c r="B1759" s="1" t="str">
        <f t="shared" si="322"/>
        <v>31.03.2020</v>
      </c>
      <c r="C1759" s="1" t="str">
        <f>"Закрито"</f>
        <v>Закрито</v>
      </c>
      <c r="D1759" s="1" t="str">
        <f>"Зняття з реєстрації місця проживання"</f>
        <v>Зняття з реєстрації місця проживання</v>
      </c>
      <c r="E1759" s="1" t="str">
        <f>"Реєстрація місця проживання"</f>
        <v>Реєстрація місця проживання</v>
      </c>
      <c r="F1759" s="1" t="str">
        <f>"Відділ реєстрації Новокаховської міської ради"</f>
        <v>Відділ реєстрації Новокаховської міської ради</v>
      </c>
      <c r="G1759" s="1" t="str">
        <f>"1"</f>
        <v>1</v>
      </c>
      <c r="H1759" s="1" t="str">
        <f>"Результат"</f>
        <v>Результат</v>
      </c>
      <c r="I1759" s="1" t="str">
        <f>"Позитивний"</f>
        <v>Позитивний</v>
      </c>
      <c r="J1759" s="1" t="str">
        <f>"Так"</f>
        <v>Так</v>
      </c>
    </row>
    <row r="1760" spans="1:10" ht="75" x14ac:dyDescent="0.25">
      <c r="A1760" s="1" t="str">
        <f>"1817-2020/27"</f>
        <v>1817-2020/27</v>
      </c>
      <c r="B1760" s="1" t="str">
        <f t="shared" si="322"/>
        <v>31.03.2020</v>
      </c>
      <c r="C1760" s="1" t="str">
        <f>"На обробці в адмін. органі"</f>
        <v>На обробці в адмін. органі</v>
      </c>
      <c r="D1760" s="1" t="str">
        <f>"Видача дозволу на розміщення зовнішньої реклами"</f>
        <v>Видача дозволу на розміщення зовнішньої реклами</v>
      </c>
      <c r="E1760" s="1" t="str">
        <f>"Зовнішня реклама"</f>
        <v>Зовнішня реклама</v>
      </c>
      <c r="F1760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1760" s="1" t="str">
        <f>"30"</f>
        <v>30</v>
      </c>
      <c r="H1760" s="1" t="str">
        <f>""</f>
        <v/>
      </c>
      <c r="I1760" s="1" t="str">
        <f>""</f>
        <v/>
      </c>
      <c r="J1760" s="1" t="str">
        <f>"Ні"</f>
        <v>Ні</v>
      </c>
    </row>
    <row r="1761" spans="1:10" ht="135" x14ac:dyDescent="0.25">
      <c r="A1761" s="1" t="str">
        <f>"1812-2020/27"</f>
        <v>1812-2020/27</v>
      </c>
      <c r="B1761" s="1" t="str">
        <f t="shared" si="322"/>
        <v>31.03.2020</v>
      </c>
      <c r="C1761" s="1" t="str">
        <f>"Закрито"</f>
        <v>Закрито</v>
      </c>
      <c r="D17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61" s="1" t="str">
        <f>"Земельні питання"</f>
        <v>Земельні питання</v>
      </c>
      <c r="F17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1" s="1" t="str">
        <f>"1"</f>
        <v>1</v>
      </c>
      <c r="H1761" s="1" t="str">
        <f>"Результат"</f>
        <v>Результат</v>
      </c>
      <c r="I1761" s="1" t="str">
        <f>"Позитивний"</f>
        <v>Позитивний</v>
      </c>
      <c r="J1761" s="1" t="str">
        <f>"Так"</f>
        <v>Так</v>
      </c>
    </row>
    <row r="1762" spans="1:10" ht="135" x14ac:dyDescent="0.25">
      <c r="A1762" s="1" t="str">
        <f>"1819-2020/27"</f>
        <v>1819-2020/27</v>
      </c>
      <c r="B1762" s="1" t="str">
        <f t="shared" si="322"/>
        <v>31.03.2020</v>
      </c>
      <c r="C1762" s="1" t="str">
        <f>"Закрито"</f>
        <v>Закрито</v>
      </c>
      <c r="D176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62" s="1" t="str">
        <f>"Земельні питання"</f>
        <v>Земельні питання</v>
      </c>
      <c r="F17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2" s="1" t="str">
        <f>"3"</f>
        <v>3</v>
      </c>
      <c r="H1762" s="1" t="str">
        <f>"Результат"</f>
        <v>Результат</v>
      </c>
      <c r="I1762" s="1" t="str">
        <f>"Позитивний"</f>
        <v>Позитивний</v>
      </c>
      <c r="J1762" s="1" t="str">
        <f>"Ні"</f>
        <v>Ні</v>
      </c>
    </row>
    <row r="1763" spans="1:10" ht="135" x14ac:dyDescent="0.25">
      <c r="A1763" s="1" t="str">
        <f>"1813-2020/27"</f>
        <v>1813-2020/27</v>
      </c>
      <c r="B1763" s="1" t="str">
        <f t="shared" si="322"/>
        <v>31.03.2020</v>
      </c>
      <c r="C1763" s="1" t="str">
        <f>"Закрито"</f>
        <v>Закрито</v>
      </c>
      <c r="D176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63" s="1" t="str">
        <f>"Земельні питання"</f>
        <v>Земельні питання</v>
      </c>
      <c r="F17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3" s="1" t="str">
        <f>"1"</f>
        <v>1</v>
      </c>
      <c r="H1763" s="1" t="str">
        <f>"Результат"</f>
        <v>Результат</v>
      </c>
      <c r="I1763" s="1" t="str">
        <f>"Позитивний"</f>
        <v>Позитивний</v>
      </c>
      <c r="J1763" s="1" t="str">
        <f>"Так"</f>
        <v>Так</v>
      </c>
    </row>
    <row r="1764" spans="1:10" ht="135" x14ac:dyDescent="0.25">
      <c r="A1764" s="1" t="str">
        <f>"1814-2020/27"</f>
        <v>1814-2020/27</v>
      </c>
      <c r="B1764" s="1" t="str">
        <f t="shared" si="322"/>
        <v>31.03.2020</v>
      </c>
      <c r="C1764" s="1" t="str">
        <f>"Закрито"</f>
        <v>Закрито</v>
      </c>
      <c r="D17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64" s="1" t="str">
        <f>"Земельні питання"</f>
        <v>Земельні питання</v>
      </c>
      <c r="F17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4" s="1" t="str">
        <f>"3"</f>
        <v>3</v>
      </c>
      <c r="H1764" s="1" t="str">
        <f>"Результат"</f>
        <v>Результат</v>
      </c>
      <c r="I1764" s="1" t="str">
        <f>"Позитивний"</f>
        <v>Позитивний</v>
      </c>
      <c r="J1764" s="1" t="str">
        <f>"Ні"</f>
        <v>Ні</v>
      </c>
    </row>
    <row r="1765" spans="1:10" ht="135" x14ac:dyDescent="0.25">
      <c r="A1765" s="1" t="str">
        <f>"1824-2020/27"</f>
        <v>1824-2020/27</v>
      </c>
      <c r="B1765" s="1" t="str">
        <f t="shared" ref="B1765:B1776" si="323">"01.04.2020"</f>
        <v>01.04.2020</v>
      </c>
      <c r="C1765" s="1" t="str">
        <f t="shared" ref="C1765:C1828" si="324">"Закрито"</f>
        <v>Закрито</v>
      </c>
      <c r="D176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765" s="1" t="str">
        <f>"Земельні питання"</f>
        <v>Земельні питання</v>
      </c>
      <c r="F17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5" s="1" t="str">
        <f>"14"</f>
        <v>14</v>
      </c>
      <c r="H1765" s="1" t="str">
        <f>"Результат"</f>
        <v>Результат</v>
      </c>
      <c r="I1765" s="1" t="str">
        <f>"Позитивний"</f>
        <v>Позитивний</v>
      </c>
      <c r="J1765" s="1" t="str">
        <f>"Ні"</f>
        <v>Ні</v>
      </c>
    </row>
    <row r="1766" spans="1:10" ht="90" x14ac:dyDescent="0.25">
      <c r="A1766" s="1" t="str">
        <f>"1829-2020/27"</f>
        <v>1829-2020/27</v>
      </c>
      <c r="B1766" s="1" t="str">
        <f t="shared" si="323"/>
        <v>01.04.2020</v>
      </c>
      <c r="C1766" s="1" t="str">
        <f t="shared" si="324"/>
        <v>Закрито</v>
      </c>
      <c r="D176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66" s="1" t="str">
        <f>"Інші послуги"</f>
        <v>Інші послуги</v>
      </c>
      <c r="F176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66" s="1" t="str">
        <f>"5"</f>
        <v>5</v>
      </c>
      <c r="H1766" s="1" t="str">
        <f>"Результат"</f>
        <v>Результат</v>
      </c>
      <c r="I1766" s="1" t="str">
        <f>"Позитивний"</f>
        <v>Позитивний</v>
      </c>
      <c r="J1766" s="1" t="str">
        <f>"Ні"</f>
        <v>Ні</v>
      </c>
    </row>
    <row r="1767" spans="1:10" ht="135" x14ac:dyDescent="0.25">
      <c r="A1767" s="1" t="str">
        <f>"1822-2020/27"</f>
        <v>1822-2020/27</v>
      </c>
      <c r="B1767" s="1" t="str">
        <f t="shared" si="323"/>
        <v>01.04.2020</v>
      </c>
      <c r="C1767" s="1" t="str">
        <f t="shared" si="324"/>
        <v>Закрито</v>
      </c>
      <c r="D176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67" s="1" t="str">
        <f>"Земельні питання"</f>
        <v>Земельні питання</v>
      </c>
      <c r="F17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7" s="1" t="str">
        <f>"1"</f>
        <v>1</v>
      </c>
      <c r="H1767" s="1" t="str">
        <f>"Результат"</f>
        <v>Результат</v>
      </c>
      <c r="I1767" s="1" t="str">
        <f>"Позитивний"</f>
        <v>Позитивний</v>
      </c>
      <c r="J1767" s="1" t="str">
        <f>"Ні"</f>
        <v>Ні</v>
      </c>
    </row>
    <row r="1768" spans="1:10" ht="90" x14ac:dyDescent="0.25">
      <c r="A1768" s="1" t="str">
        <f>"1827-2020/27"</f>
        <v>1827-2020/27</v>
      </c>
      <c r="B1768" s="1" t="str">
        <f t="shared" si="323"/>
        <v>01.04.2020</v>
      </c>
      <c r="C1768" s="1" t="str">
        <f t="shared" si="324"/>
        <v>Закрито</v>
      </c>
      <c r="D176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68" s="1" t="str">
        <f>"Інші послуги"</f>
        <v>Інші послуги</v>
      </c>
      <c r="F176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68" s="1" t="str">
        <f>"5"</f>
        <v>5</v>
      </c>
      <c r="H1768" s="1" t="str">
        <f>"Результат"</f>
        <v>Результат</v>
      </c>
      <c r="I1768" s="1" t="str">
        <f>"Позитивний"</f>
        <v>Позитивний</v>
      </c>
      <c r="J1768" s="1" t="str">
        <f>"Ні"</f>
        <v>Ні</v>
      </c>
    </row>
    <row r="1769" spans="1:10" ht="135" x14ac:dyDescent="0.25">
      <c r="A1769" s="1" t="str">
        <f>"1831-2020/27"</f>
        <v>1831-2020/27</v>
      </c>
      <c r="B1769" s="1" t="str">
        <f t="shared" si="323"/>
        <v>01.04.2020</v>
      </c>
      <c r="C1769" s="1" t="str">
        <f t="shared" si="324"/>
        <v>Закрито</v>
      </c>
      <c r="D176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69" s="1" t="str">
        <f>"Земельні питання"</f>
        <v>Земельні питання</v>
      </c>
      <c r="F17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69" s="1" t="str">
        <f>"1"</f>
        <v>1</v>
      </c>
      <c r="H1769" s="1" t="str">
        <f>"Результат"</f>
        <v>Результат</v>
      </c>
      <c r="I1769" s="1" t="str">
        <f>"Позитивний"</f>
        <v>Позитивний</v>
      </c>
      <c r="J1769" s="1" t="str">
        <f>"Так"</f>
        <v>Так</v>
      </c>
    </row>
    <row r="1770" spans="1:10" ht="135" x14ac:dyDescent="0.25">
      <c r="A1770" s="1" t="str">
        <f>"1830-2020/27"</f>
        <v>1830-2020/27</v>
      </c>
      <c r="B1770" s="1" t="str">
        <f t="shared" si="323"/>
        <v>01.04.2020</v>
      </c>
      <c r="C1770" s="1" t="str">
        <f t="shared" si="324"/>
        <v>Закрито</v>
      </c>
      <c r="D17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70" s="1" t="str">
        <f>"Земельні питання"</f>
        <v>Земельні питання</v>
      </c>
      <c r="F17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70" s="1" t="str">
        <f>"1"</f>
        <v>1</v>
      </c>
      <c r="H1770" s="1" t="str">
        <f>"Результат"</f>
        <v>Результат</v>
      </c>
      <c r="I1770" s="1" t="str">
        <f>"Позитивний"</f>
        <v>Позитивний</v>
      </c>
      <c r="J1770" s="1" t="str">
        <f>"Так"</f>
        <v>Так</v>
      </c>
    </row>
    <row r="1771" spans="1:10" ht="90" x14ac:dyDescent="0.25">
      <c r="A1771" s="1" t="str">
        <f>"1826-2020/27"</f>
        <v>1826-2020/27</v>
      </c>
      <c r="B1771" s="1" t="str">
        <f t="shared" si="323"/>
        <v>01.04.2020</v>
      </c>
      <c r="C1771" s="1" t="str">
        <f t="shared" si="324"/>
        <v>Закрито</v>
      </c>
      <c r="D177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771" s="1" t="str">
        <f>"Інші послуги"</f>
        <v>Інші послуги</v>
      </c>
      <c r="F177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771" s="1" t="str">
        <f>"5"</f>
        <v>5</v>
      </c>
      <c r="H1771" s="1" t="str">
        <f>"Результат"</f>
        <v>Результат</v>
      </c>
      <c r="I1771" s="1" t="str">
        <f>"Позитивний"</f>
        <v>Позитивний</v>
      </c>
      <c r="J1771" s="1" t="str">
        <f>"Ні"</f>
        <v>Ні</v>
      </c>
    </row>
    <row r="1772" spans="1:10" ht="135" x14ac:dyDescent="0.25">
      <c r="A1772" s="1" t="str">
        <f>"1823-2020/27"</f>
        <v>1823-2020/27</v>
      </c>
      <c r="B1772" s="1" t="str">
        <f t="shared" si="323"/>
        <v>01.04.2020</v>
      </c>
      <c r="C1772" s="1" t="str">
        <f t="shared" si="324"/>
        <v>Закрито</v>
      </c>
      <c r="D177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72" s="1" t="str">
        <f>"Земельні питання"</f>
        <v>Земельні питання</v>
      </c>
      <c r="F17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72" s="1" t="str">
        <f>"1"</f>
        <v>1</v>
      </c>
      <c r="H1772" s="1" t="str">
        <f>"Результат"</f>
        <v>Результат</v>
      </c>
      <c r="I1772" s="1" t="str">
        <f>"Позитивний"</f>
        <v>Позитивний</v>
      </c>
      <c r="J1772" s="1" t="str">
        <f>"Ні"</f>
        <v>Ні</v>
      </c>
    </row>
    <row r="1773" spans="1:10" ht="135" x14ac:dyDescent="0.25">
      <c r="A1773" s="1" t="str">
        <f>"1821-2020/27"</f>
        <v>1821-2020/27</v>
      </c>
      <c r="B1773" s="1" t="str">
        <f t="shared" si="323"/>
        <v>01.04.2020</v>
      </c>
      <c r="C1773" s="1" t="str">
        <f t="shared" si="324"/>
        <v>Закрито</v>
      </c>
      <c r="D177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73" s="1" t="str">
        <f>"Земельні питання"</f>
        <v>Земельні питання</v>
      </c>
      <c r="F17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73" s="1" t="str">
        <f>"1"</f>
        <v>1</v>
      </c>
      <c r="H1773" s="1" t="str">
        <f>"Результат"</f>
        <v>Результат</v>
      </c>
      <c r="I1773" s="1" t="str">
        <f>"Позитивний"</f>
        <v>Позитивний</v>
      </c>
      <c r="J1773" s="1" t="str">
        <f>"Ні"</f>
        <v>Ні</v>
      </c>
    </row>
    <row r="1774" spans="1:10" ht="135" x14ac:dyDescent="0.25">
      <c r="A1774" s="1" t="str">
        <f>"1820-2020/27"</f>
        <v>1820-2020/27</v>
      </c>
      <c r="B1774" s="1" t="str">
        <f t="shared" si="323"/>
        <v>01.04.2020</v>
      </c>
      <c r="C1774" s="1" t="str">
        <f t="shared" si="324"/>
        <v>Закрито</v>
      </c>
      <c r="D177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74" s="1" t="str">
        <f>"Земельні питання"</f>
        <v>Земельні питання</v>
      </c>
      <c r="F17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74" s="1" t="str">
        <f>"1"</f>
        <v>1</v>
      </c>
      <c r="H1774" s="1" t="str">
        <f>"Результат"</f>
        <v>Результат</v>
      </c>
      <c r="I1774" s="1" t="str">
        <f>"Позитивний"</f>
        <v>Позитивний</v>
      </c>
      <c r="J1774" s="1" t="str">
        <f>"Ні"</f>
        <v>Ні</v>
      </c>
    </row>
    <row r="1775" spans="1:10" ht="135" x14ac:dyDescent="0.25">
      <c r="A1775" s="1" t="str">
        <f>"1828-2020/27"</f>
        <v>1828-2020/27</v>
      </c>
      <c r="B1775" s="1" t="str">
        <f t="shared" si="323"/>
        <v>01.04.2020</v>
      </c>
      <c r="C1775" s="1" t="str">
        <f t="shared" si="324"/>
        <v>Закрито</v>
      </c>
      <c r="D177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75" s="1" t="str">
        <f>"Земельні питання"</f>
        <v>Земельні питання</v>
      </c>
      <c r="F17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75" s="1" t="str">
        <f>"3"</f>
        <v>3</v>
      </c>
      <c r="H1775" s="1" t="str">
        <f>"Результат"</f>
        <v>Результат</v>
      </c>
      <c r="I1775" s="1" t="str">
        <f>"Позитивний"</f>
        <v>Позитивний</v>
      </c>
      <c r="J1775" s="1" t="str">
        <f>"Ні"</f>
        <v>Ні</v>
      </c>
    </row>
    <row r="1776" spans="1:10" ht="45" x14ac:dyDescent="0.25">
      <c r="A1776" s="1" t="str">
        <f>"1825-2020/27"</f>
        <v>1825-2020/27</v>
      </c>
      <c r="B1776" s="1" t="str">
        <f t="shared" si="323"/>
        <v>01.04.2020</v>
      </c>
      <c r="C1776" s="1" t="str">
        <f t="shared" si="324"/>
        <v>Закрито</v>
      </c>
      <c r="D1776" s="1" t="str">
        <f>"Зняття з реєстрації місця проживання"</f>
        <v>Зняття з реєстрації місця проживання</v>
      </c>
      <c r="E1776" s="1" t="str">
        <f>"Реєстрація місця проживання"</f>
        <v>Реєстрація місця проживання</v>
      </c>
      <c r="F1776" s="1" t="str">
        <f>"Відділ реєстрації Новокаховської міської ради"</f>
        <v>Відділ реєстрації Новокаховської міської ради</v>
      </c>
      <c r="G1776" s="1" t="str">
        <f>"1"</f>
        <v>1</v>
      </c>
      <c r="H1776" s="1" t="str">
        <f>"Результат"</f>
        <v>Результат</v>
      </c>
      <c r="I1776" s="1" t="str">
        <f>"Позитивний"</f>
        <v>Позитивний</v>
      </c>
      <c r="J1776" s="1" t="str">
        <f>"Так"</f>
        <v>Так</v>
      </c>
    </row>
    <row r="1777" spans="1:10" ht="45" x14ac:dyDescent="0.25">
      <c r="A1777" s="1" t="str">
        <f>"1833-2020/27"</f>
        <v>1833-2020/27</v>
      </c>
      <c r="B1777" s="1" t="str">
        <f t="shared" ref="B1777:B1782" si="325">"02.04.2020"</f>
        <v>02.04.2020</v>
      </c>
      <c r="C1777" s="1" t="str">
        <f t="shared" si="324"/>
        <v>Закрито</v>
      </c>
      <c r="D1777" s="1" t="str">
        <f>"Реєстрація місця проживання особи"</f>
        <v>Реєстрація місця проживання особи</v>
      </c>
      <c r="E1777" s="1" t="str">
        <f>"Реєстрація місця проживання"</f>
        <v>Реєстрація місця проживання</v>
      </c>
      <c r="F1777" s="1" t="str">
        <f>"Відділ реєстрації Новокаховської міської ради"</f>
        <v>Відділ реєстрації Новокаховської міської ради</v>
      </c>
      <c r="G1777" s="1" t="str">
        <f>"1"</f>
        <v>1</v>
      </c>
      <c r="H1777" s="1" t="str">
        <f>"Результат"</f>
        <v>Результат</v>
      </c>
      <c r="I1777" s="1" t="str">
        <f>"Позитивний"</f>
        <v>Позитивний</v>
      </c>
      <c r="J1777" s="1" t="str">
        <f>"Так"</f>
        <v>Так</v>
      </c>
    </row>
    <row r="1778" spans="1:10" ht="135" x14ac:dyDescent="0.25">
      <c r="A1778" s="1" t="str">
        <f>"1837-2020/27"</f>
        <v>1837-2020/27</v>
      </c>
      <c r="B1778" s="1" t="str">
        <f t="shared" si="325"/>
        <v>02.04.2020</v>
      </c>
      <c r="C1778" s="1" t="str">
        <f t="shared" si="324"/>
        <v>Закрито</v>
      </c>
      <c r="D177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78" s="1" t="str">
        <f>"Земельні питання"</f>
        <v>Земельні питання</v>
      </c>
      <c r="F17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78" s="1" t="str">
        <f>"14"</f>
        <v>14</v>
      </c>
      <c r="H1778" s="1" t="str">
        <f>"Результат"</f>
        <v>Результат</v>
      </c>
      <c r="I1778" s="1" t="str">
        <f>"Позитивний"</f>
        <v>Позитивний</v>
      </c>
      <c r="J1778" s="1" t="str">
        <f>"Ні"</f>
        <v>Ні</v>
      </c>
    </row>
    <row r="1779" spans="1:10" ht="45" x14ac:dyDescent="0.25">
      <c r="A1779" s="1" t="str">
        <f>"1834-2020/27"</f>
        <v>1834-2020/27</v>
      </c>
      <c r="B1779" s="1" t="str">
        <f t="shared" si="325"/>
        <v>02.04.2020</v>
      </c>
      <c r="C1779" s="1" t="str">
        <f t="shared" si="324"/>
        <v>Закрито</v>
      </c>
      <c r="D1779" s="1" t="str">
        <f>"Реєстрація місця проживання особи"</f>
        <v>Реєстрація місця проживання особи</v>
      </c>
      <c r="E1779" s="1" t="str">
        <f>"Реєстрація місця проживання"</f>
        <v>Реєстрація місця проживання</v>
      </c>
      <c r="F1779" s="1" t="str">
        <f>"Відділ реєстрації Новокаховської міської ради"</f>
        <v>Відділ реєстрації Новокаховської міської ради</v>
      </c>
      <c r="G1779" s="1" t="str">
        <f>"1"</f>
        <v>1</v>
      </c>
      <c r="H1779" s="1" t="str">
        <f>"Результат"</f>
        <v>Результат</v>
      </c>
      <c r="I1779" s="1" t="str">
        <f>"Позитивний"</f>
        <v>Позитивний</v>
      </c>
      <c r="J1779" s="1" t="str">
        <f>"Так"</f>
        <v>Так</v>
      </c>
    </row>
    <row r="1780" spans="1:10" ht="45" x14ac:dyDescent="0.25">
      <c r="A1780" s="1" t="str">
        <f>"1832-2020/27"</f>
        <v>1832-2020/27</v>
      </c>
      <c r="B1780" s="1" t="str">
        <f t="shared" si="325"/>
        <v>02.04.2020</v>
      </c>
      <c r="C1780" s="1" t="str">
        <f t="shared" si="324"/>
        <v>Закрито</v>
      </c>
      <c r="D1780" s="1" t="str">
        <f>"Реєстрація місця проживання особи"</f>
        <v>Реєстрація місця проживання особи</v>
      </c>
      <c r="E1780" s="1" t="str">
        <f>"Реєстрація місця проживання"</f>
        <v>Реєстрація місця проживання</v>
      </c>
      <c r="F1780" s="1" t="str">
        <f>"Відділ реєстрації Новокаховської міської ради"</f>
        <v>Відділ реєстрації Новокаховської міської ради</v>
      </c>
      <c r="G1780" s="1" t="str">
        <f>"1"</f>
        <v>1</v>
      </c>
      <c r="H1780" s="1" t="str">
        <f>"Результат"</f>
        <v>Результат</v>
      </c>
      <c r="I1780" s="1" t="str">
        <f>"Позитивний"</f>
        <v>Позитивний</v>
      </c>
      <c r="J1780" s="1" t="str">
        <f>"Так"</f>
        <v>Так</v>
      </c>
    </row>
    <row r="1781" spans="1:10" ht="45" x14ac:dyDescent="0.25">
      <c r="A1781" s="1" t="str">
        <f>"1835-2020/27"</f>
        <v>1835-2020/27</v>
      </c>
      <c r="B1781" s="1" t="str">
        <f t="shared" si="325"/>
        <v>02.04.2020</v>
      </c>
      <c r="C1781" s="1" t="str">
        <f t="shared" si="324"/>
        <v>Закрито</v>
      </c>
      <c r="D1781" s="1" t="str">
        <f>"Реєстрація місця проживання особи"</f>
        <v>Реєстрація місця проживання особи</v>
      </c>
      <c r="E1781" s="1" t="str">
        <f>"Реєстрація місця проживання"</f>
        <v>Реєстрація місця проживання</v>
      </c>
      <c r="F1781" s="1" t="str">
        <f>"Відділ реєстрації Новокаховської міської ради"</f>
        <v>Відділ реєстрації Новокаховської міської ради</v>
      </c>
      <c r="G1781" s="1" t="str">
        <f>"1"</f>
        <v>1</v>
      </c>
      <c r="H1781" s="1" t="str">
        <f>"Результат"</f>
        <v>Результат</v>
      </c>
      <c r="I1781" s="1" t="str">
        <f>"Позитивний"</f>
        <v>Позитивний</v>
      </c>
      <c r="J1781" s="1" t="str">
        <f>"Так"</f>
        <v>Так</v>
      </c>
    </row>
    <row r="1782" spans="1:10" ht="135" x14ac:dyDescent="0.25">
      <c r="A1782" s="1" t="str">
        <f>"1836-2020/27"</f>
        <v>1836-2020/27</v>
      </c>
      <c r="B1782" s="1" t="str">
        <f t="shared" si="325"/>
        <v>02.04.2020</v>
      </c>
      <c r="C1782" s="1" t="str">
        <f t="shared" si="324"/>
        <v>Закрито</v>
      </c>
      <c r="D178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782" s="1" t="str">
        <f>"Земельні питання"</f>
        <v>Земельні питання</v>
      </c>
      <c r="F17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82" s="1" t="str">
        <f>"14"</f>
        <v>14</v>
      </c>
      <c r="H1782" s="1" t="str">
        <f>"Результат"</f>
        <v>Результат</v>
      </c>
      <c r="I1782" s="1" t="str">
        <f>"Мотивована відмова"</f>
        <v>Мотивована відмова</v>
      </c>
      <c r="J1782" s="1" t="str">
        <f t="shared" ref="J1782:J1788" si="326">"Ні"</f>
        <v>Ні</v>
      </c>
    </row>
    <row r="1783" spans="1:10" ht="120" x14ac:dyDescent="0.25">
      <c r="A1783" s="1" t="str">
        <f>"1845-2020/27"</f>
        <v>1845-2020/27</v>
      </c>
      <c r="B1783" s="1" t="str">
        <f t="shared" ref="B1783:B1795" si="327">"03.04.2020"</f>
        <v>03.04.2020</v>
      </c>
      <c r="C1783" s="1" t="str">
        <f t="shared" si="324"/>
        <v>Закрито</v>
      </c>
      <c r="D1783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783" s="1" t="str">
        <f>"Будівництво"</f>
        <v>Будівництво</v>
      </c>
      <c r="F178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783" s="1" t="str">
        <f>"10"</f>
        <v>10</v>
      </c>
      <c r="H1783" s="1" t="str">
        <f>"Результат"</f>
        <v>Результат</v>
      </c>
      <c r="I1783" s="1" t="str">
        <f>"Позитивний"</f>
        <v>Позитивний</v>
      </c>
      <c r="J1783" s="1" t="str">
        <f t="shared" si="326"/>
        <v>Ні</v>
      </c>
    </row>
    <row r="1784" spans="1:10" ht="225" x14ac:dyDescent="0.25">
      <c r="A1784" s="1" t="str">
        <f>"1842-2020/27"</f>
        <v>1842-2020/27</v>
      </c>
      <c r="B1784" s="1" t="str">
        <f t="shared" si="327"/>
        <v>03.04.2020</v>
      </c>
      <c r="C1784" s="1" t="str">
        <f t="shared" si="324"/>
        <v>Закрито</v>
      </c>
      <c r="D1784" s="1" t="s">
        <v>2</v>
      </c>
      <c r="E1784" s="1" t="str">
        <f>"Будівництво"</f>
        <v>Будівництво</v>
      </c>
      <c r="F178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784" s="1" t="str">
        <f>"30"</f>
        <v>30</v>
      </c>
      <c r="H1784" s="1" t="str">
        <f>"Результат"</f>
        <v>Результат</v>
      </c>
      <c r="I1784" s="1" t="str">
        <f>"Позитивний"</f>
        <v>Позитивний</v>
      </c>
      <c r="J1784" s="1" t="str">
        <f t="shared" si="326"/>
        <v>Ні</v>
      </c>
    </row>
    <row r="1785" spans="1:10" ht="225" x14ac:dyDescent="0.25">
      <c r="A1785" s="1" t="str">
        <f>"1843-2020/27"</f>
        <v>1843-2020/27</v>
      </c>
      <c r="B1785" s="1" t="str">
        <f t="shared" si="327"/>
        <v>03.04.2020</v>
      </c>
      <c r="C1785" s="1" t="str">
        <f t="shared" si="324"/>
        <v>Закрито</v>
      </c>
      <c r="D1785" s="1" t="s">
        <v>1</v>
      </c>
      <c r="E1785" s="1" t="str">
        <f>"Будівництво"</f>
        <v>Будівництво</v>
      </c>
      <c r="F178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785" s="1" t="str">
        <f>"30"</f>
        <v>30</v>
      </c>
      <c r="H1785" s="1" t="str">
        <f>"Результат"</f>
        <v>Результат</v>
      </c>
      <c r="I1785" s="1" t="str">
        <f>"Позитивний"</f>
        <v>Позитивний</v>
      </c>
      <c r="J1785" s="1" t="str">
        <f t="shared" si="326"/>
        <v>Ні</v>
      </c>
    </row>
    <row r="1786" spans="1:10" ht="225" x14ac:dyDescent="0.25">
      <c r="A1786" s="1" t="str">
        <f>"1846-2020/27"</f>
        <v>1846-2020/27</v>
      </c>
      <c r="B1786" s="1" t="str">
        <f t="shared" si="327"/>
        <v>03.04.2020</v>
      </c>
      <c r="C1786" s="1" t="str">
        <f t="shared" si="324"/>
        <v>Закрито</v>
      </c>
      <c r="D1786" s="1" t="s">
        <v>0</v>
      </c>
      <c r="E1786" s="1" t="str">
        <f>"Будівництво"</f>
        <v>Будівництво</v>
      </c>
      <c r="F178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786" s="1" t="str">
        <f>"10"</f>
        <v>10</v>
      </c>
      <c r="H1786" s="1" t="str">
        <f>"Результат"</f>
        <v>Результат</v>
      </c>
      <c r="I1786" s="1" t="str">
        <f>"Позитивний"</f>
        <v>Позитивний</v>
      </c>
      <c r="J1786" s="1" t="str">
        <f t="shared" si="326"/>
        <v>Ні</v>
      </c>
    </row>
    <row r="1787" spans="1:10" ht="225" x14ac:dyDescent="0.25">
      <c r="A1787" s="1" t="str">
        <f>"1841-2020/27"</f>
        <v>1841-2020/27</v>
      </c>
      <c r="B1787" s="1" t="str">
        <f t="shared" si="327"/>
        <v>03.04.2020</v>
      </c>
      <c r="C1787" s="1" t="str">
        <f t="shared" si="324"/>
        <v>Закрито</v>
      </c>
      <c r="D1787" s="1" t="s">
        <v>1</v>
      </c>
      <c r="E1787" s="1" t="str">
        <f>"Будівництво"</f>
        <v>Будівництво</v>
      </c>
      <c r="F178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787" s="1" t="str">
        <f>"30"</f>
        <v>30</v>
      </c>
      <c r="H1787" s="1" t="str">
        <f>"Результат"</f>
        <v>Результат</v>
      </c>
      <c r="I1787" s="1" t="str">
        <f>"Позитивний"</f>
        <v>Позитивний</v>
      </c>
      <c r="J1787" s="1" t="str">
        <f t="shared" si="326"/>
        <v>Ні</v>
      </c>
    </row>
    <row r="1788" spans="1:10" ht="135" x14ac:dyDescent="0.25">
      <c r="A1788" s="1" t="str">
        <f>"1848-2020/27"</f>
        <v>1848-2020/27</v>
      </c>
      <c r="B1788" s="1" t="str">
        <f t="shared" si="327"/>
        <v>03.04.2020</v>
      </c>
      <c r="C1788" s="1" t="str">
        <f t="shared" si="324"/>
        <v>Закрито</v>
      </c>
      <c r="D178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88" s="1" t="str">
        <f>"Земельні питання"</f>
        <v>Земельні питання</v>
      </c>
      <c r="F17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88" s="1" t="str">
        <f>"14"</f>
        <v>14</v>
      </c>
      <c r="H1788" s="1" t="str">
        <f>"Результат"</f>
        <v>Результат</v>
      </c>
      <c r="I1788" s="1" t="str">
        <f>"Позитивний"</f>
        <v>Позитивний</v>
      </c>
      <c r="J1788" s="1" t="str">
        <f t="shared" si="326"/>
        <v>Ні</v>
      </c>
    </row>
    <row r="1789" spans="1:10" ht="45" x14ac:dyDescent="0.25">
      <c r="A1789" s="1" t="str">
        <f>"1839-2020/27"</f>
        <v>1839-2020/27</v>
      </c>
      <c r="B1789" s="1" t="str">
        <f t="shared" si="327"/>
        <v>03.04.2020</v>
      </c>
      <c r="C1789" s="1" t="str">
        <f t="shared" si="324"/>
        <v>Закрито</v>
      </c>
      <c r="D1789" s="1" t="str">
        <f>"Реєстрація місця проживання особи"</f>
        <v>Реєстрація місця проживання особи</v>
      </c>
      <c r="E1789" s="1" t="str">
        <f>"Реєстрація місця проживання"</f>
        <v>Реєстрація місця проживання</v>
      </c>
      <c r="F1789" s="1" t="str">
        <f>"Відділ реєстрації Новокаховської міської ради"</f>
        <v>Відділ реєстрації Новокаховської міської ради</v>
      </c>
      <c r="G1789" s="1" t="str">
        <f>"1"</f>
        <v>1</v>
      </c>
      <c r="H1789" s="1" t="str">
        <f>"Результат"</f>
        <v>Результат</v>
      </c>
      <c r="I1789" s="1" t="str">
        <f>"Позитивний"</f>
        <v>Позитивний</v>
      </c>
      <c r="J1789" s="1" t="str">
        <f>"Так"</f>
        <v>Так</v>
      </c>
    </row>
    <row r="1790" spans="1:10" ht="225" x14ac:dyDescent="0.25">
      <c r="A1790" s="1" t="str">
        <f>"1844-2020/27"</f>
        <v>1844-2020/27</v>
      </c>
      <c r="B1790" s="1" t="str">
        <f t="shared" si="327"/>
        <v>03.04.2020</v>
      </c>
      <c r="C1790" s="1" t="str">
        <f t="shared" si="324"/>
        <v>Закрито</v>
      </c>
      <c r="D1790" s="1" t="s">
        <v>1</v>
      </c>
      <c r="E1790" s="1" t="str">
        <f>"Будівництво"</f>
        <v>Будівництво</v>
      </c>
      <c r="F179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790" s="1" t="str">
        <f>"30"</f>
        <v>30</v>
      </c>
      <c r="H1790" s="1" t="str">
        <f>"Результат"</f>
        <v>Результат</v>
      </c>
      <c r="I1790" s="1" t="str">
        <f>"Позитивний"</f>
        <v>Позитивний</v>
      </c>
      <c r="J1790" s="1" t="str">
        <f>"Ні"</f>
        <v>Ні</v>
      </c>
    </row>
    <row r="1791" spans="1:10" ht="135" x14ac:dyDescent="0.25">
      <c r="A1791" s="1" t="str">
        <f>"1838-2020/27"</f>
        <v>1838-2020/27</v>
      </c>
      <c r="B1791" s="1" t="str">
        <f t="shared" si="327"/>
        <v>03.04.2020</v>
      </c>
      <c r="C1791" s="1" t="str">
        <f t="shared" si="324"/>
        <v>Закрито</v>
      </c>
      <c r="D179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791" s="1" t="str">
        <f>"Земельні питання"</f>
        <v>Земельні питання</v>
      </c>
      <c r="F17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91" s="1" t="str">
        <f>"14"</f>
        <v>14</v>
      </c>
      <c r="H1791" s="1" t="str">
        <f>"Результат"</f>
        <v>Результат</v>
      </c>
      <c r="I1791" s="1" t="str">
        <f>"Позитивний"</f>
        <v>Позитивний</v>
      </c>
      <c r="J1791" s="1" t="str">
        <f>"Ні"</f>
        <v>Ні</v>
      </c>
    </row>
    <row r="1792" spans="1:10" ht="135" x14ac:dyDescent="0.25">
      <c r="A1792" s="1" t="str">
        <f>"1849-2020/27"</f>
        <v>1849-2020/27</v>
      </c>
      <c r="B1792" s="1" t="str">
        <f t="shared" si="327"/>
        <v>03.04.2020</v>
      </c>
      <c r="C1792" s="1" t="str">
        <f t="shared" si="324"/>
        <v>Закрито</v>
      </c>
      <c r="D179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92" s="1" t="str">
        <f>"Земельні питання"</f>
        <v>Земельні питання</v>
      </c>
      <c r="F17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92" s="1" t="str">
        <f>"3"</f>
        <v>3</v>
      </c>
      <c r="H1792" s="1" t="str">
        <f>"Результат"</f>
        <v>Результат</v>
      </c>
      <c r="I1792" s="1" t="str">
        <f>"Позитивний"</f>
        <v>Позитивний</v>
      </c>
      <c r="J1792" s="1" t="str">
        <f>"Ні"</f>
        <v>Ні</v>
      </c>
    </row>
    <row r="1793" spans="1:10" ht="135" x14ac:dyDescent="0.25">
      <c r="A1793" s="1" t="str">
        <f>"1847-2020/27"</f>
        <v>1847-2020/27</v>
      </c>
      <c r="B1793" s="1" t="str">
        <f t="shared" si="327"/>
        <v>03.04.2020</v>
      </c>
      <c r="C1793" s="1" t="str">
        <f t="shared" si="324"/>
        <v>Закрито</v>
      </c>
      <c r="D179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93" s="1" t="str">
        <f>"Земельні питання"</f>
        <v>Земельні питання</v>
      </c>
      <c r="F17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93" s="1" t="str">
        <f>"14"</f>
        <v>14</v>
      </c>
      <c r="H1793" s="1" t="str">
        <f>"Результат"</f>
        <v>Результат</v>
      </c>
      <c r="I1793" s="1" t="str">
        <f>"Позитивний"</f>
        <v>Позитивний</v>
      </c>
      <c r="J1793" s="1" t="str">
        <f>"Ні"</f>
        <v>Ні</v>
      </c>
    </row>
    <row r="1794" spans="1:10" ht="45" x14ac:dyDescent="0.25">
      <c r="A1794" s="1" t="str">
        <f>"1840-2020/27"</f>
        <v>1840-2020/27</v>
      </c>
      <c r="B1794" s="1" t="str">
        <f t="shared" si="327"/>
        <v>03.04.2020</v>
      </c>
      <c r="C1794" s="1" t="str">
        <f t="shared" si="324"/>
        <v>Закрито</v>
      </c>
      <c r="D1794" s="1" t="str">
        <f>"Зняття з реєстрації місця проживання"</f>
        <v>Зняття з реєстрації місця проживання</v>
      </c>
      <c r="E1794" s="1" t="str">
        <f>"Реєстрація місця проживання"</f>
        <v>Реєстрація місця проживання</v>
      </c>
      <c r="F1794" s="1" t="str">
        <f>"Відділ реєстрації Новокаховської міської ради"</f>
        <v>Відділ реєстрації Новокаховської міської ради</v>
      </c>
      <c r="G1794" s="1" t="str">
        <f>"1"</f>
        <v>1</v>
      </c>
      <c r="H1794" s="1" t="str">
        <f>"Результат"</f>
        <v>Результат</v>
      </c>
      <c r="I1794" s="1" t="str">
        <f>"Позитивний"</f>
        <v>Позитивний</v>
      </c>
      <c r="J1794" s="1" t="str">
        <f>"Так"</f>
        <v>Так</v>
      </c>
    </row>
    <row r="1795" spans="1:10" ht="135" x14ac:dyDescent="0.25">
      <c r="A1795" s="1" t="str">
        <f>"1850-2020/27"</f>
        <v>1850-2020/27</v>
      </c>
      <c r="B1795" s="1" t="str">
        <f t="shared" si="327"/>
        <v>03.04.2020</v>
      </c>
      <c r="C1795" s="1" t="str">
        <f t="shared" si="324"/>
        <v>Закрито</v>
      </c>
      <c r="D179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795" s="1" t="str">
        <f>"Земельні питання"</f>
        <v>Земельні питання</v>
      </c>
      <c r="F17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95" s="1" t="str">
        <f>"3"</f>
        <v>3</v>
      </c>
      <c r="H1795" s="1" t="str">
        <f>"Результат"</f>
        <v>Результат</v>
      </c>
      <c r="I1795" s="1" t="str">
        <f>"Мотивована відмова"</f>
        <v>Мотивована відмова</v>
      </c>
      <c r="J1795" s="1" t="str">
        <f>"Ні"</f>
        <v>Ні</v>
      </c>
    </row>
    <row r="1796" spans="1:10" ht="135" x14ac:dyDescent="0.25">
      <c r="A1796" s="1" t="str">
        <f>"1852-2020/27"</f>
        <v>1852-2020/27</v>
      </c>
      <c r="B1796" s="1" t="str">
        <f>"06.04.2020"</f>
        <v>06.04.2020</v>
      </c>
      <c r="C1796" s="1" t="str">
        <f t="shared" si="324"/>
        <v>Закрито</v>
      </c>
      <c r="D179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96" s="1" t="str">
        <f>"Земельні питання"</f>
        <v>Земельні питання</v>
      </c>
      <c r="F17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96" s="1" t="str">
        <f>"14"</f>
        <v>14</v>
      </c>
      <c r="H1796" s="1" t="str">
        <f>"Результат"</f>
        <v>Результат</v>
      </c>
      <c r="I1796" s="1" t="str">
        <f>"Мотивована відмова"</f>
        <v>Мотивована відмова</v>
      </c>
      <c r="J1796" s="1" t="str">
        <f>"Ні"</f>
        <v>Ні</v>
      </c>
    </row>
    <row r="1797" spans="1:10" ht="135" x14ac:dyDescent="0.25">
      <c r="A1797" s="1" t="str">
        <f>"1854-2020/27"</f>
        <v>1854-2020/27</v>
      </c>
      <c r="B1797" s="1" t="str">
        <f>"06.04.2020"</f>
        <v>06.04.2020</v>
      </c>
      <c r="C1797" s="1" t="str">
        <f t="shared" si="324"/>
        <v>Закрито</v>
      </c>
      <c r="D179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797" s="1" t="str">
        <f>"Земельні питання"</f>
        <v>Земельні питання</v>
      </c>
      <c r="F17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97" s="1" t="str">
        <f>"1"</f>
        <v>1</v>
      </c>
      <c r="H1797" s="1" t="str">
        <f>"Результат"</f>
        <v>Результат</v>
      </c>
      <c r="I1797" s="1" t="str">
        <f>"Позитивний"</f>
        <v>Позитивний</v>
      </c>
      <c r="J1797" s="1" t="str">
        <f>"Так"</f>
        <v>Так</v>
      </c>
    </row>
    <row r="1798" spans="1:10" ht="135" x14ac:dyDescent="0.25">
      <c r="A1798" s="1" t="str">
        <f>"1853-2020/27"</f>
        <v>1853-2020/27</v>
      </c>
      <c r="B1798" s="1" t="str">
        <f>"06.04.2020"</f>
        <v>06.04.2020</v>
      </c>
      <c r="C1798" s="1" t="str">
        <f t="shared" si="324"/>
        <v>Закрито</v>
      </c>
      <c r="D179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798" s="1" t="str">
        <f>"Земельні питання"</f>
        <v>Земельні питання</v>
      </c>
      <c r="F17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798" s="1" t="str">
        <f>"14"</f>
        <v>14</v>
      </c>
      <c r="H1798" s="1" t="str">
        <f>"Результат"</f>
        <v>Результат</v>
      </c>
      <c r="I1798" s="1" t="str">
        <f>"Позитивний"</f>
        <v>Позитивний</v>
      </c>
      <c r="J1798" s="1" t="str">
        <f>"Ні"</f>
        <v>Ні</v>
      </c>
    </row>
    <row r="1799" spans="1:10" ht="45" x14ac:dyDescent="0.25">
      <c r="A1799" s="1" t="str">
        <f>"1851-2020/27"</f>
        <v>1851-2020/27</v>
      </c>
      <c r="B1799" s="1" t="str">
        <f>"06.04.2020"</f>
        <v>06.04.2020</v>
      </c>
      <c r="C1799" s="1" t="str">
        <f t="shared" si="324"/>
        <v>Закрито</v>
      </c>
      <c r="D1799" s="1" t="str">
        <f>"Реєстрація місця проживання особи"</f>
        <v>Реєстрація місця проживання особи</v>
      </c>
      <c r="E1799" s="1" t="str">
        <f>"Реєстрація місця проживання"</f>
        <v>Реєстрація місця проживання</v>
      </c>
      <c r="F1799" s="1" t="str">
        <f>"Відділ реєстрації Новокаховської міської ради"</f>
        <v>Відділ реєстрації Новокаховської міської ради</v>
      </c>
      <c r="G1799" s="1" t="str">
        <f>"1"</f>
        <v>1</v>
      </c>
      <c r="H1799" s="1" t="str">
        <f>"Результат"</f>
        <v>Результат</v>
      </c>
      <c r="I1799" s="1" t="str">
        <f>"Позитивний"</f>
        <v>Позитивний</v>
      </c>
      <c r="J1799" s="1" t="str">
        <f>"Так"</f>
        <v>Так</v>
      </c>
    </row>
    <row r="1800" spans="1:10" ht="135" x14ac:dyDescent="0.25">
      <c r="A1800" s="1" t="str">
        <f>"1858-2020/27"</f>
        <v>1858-2020/27</v>
      </c>
      <c r="B1800" s="1" t="str">
        <f t="shared" ref="B1800:B1806" si="328">"07.04.2020"</f>
        <v>07.04.2020</v>
      </c>
      <c r="C1800" s="1" t="str">
        <f t="shared" si="324"/>
        <v>Закрито</v>
      </c>
      <c r="D180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00" s="1" t="str">
        <f>"Земельні питання"</f>
        <v>Земельні питання</v>
      </c>
      <c r="F18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0" s="1" t="str">
        <f>"14"</f>
        <v>14</v>
      </c>
      <c r="H1800" s="1" t="str">
        <f>"Результат"</f>
        <v>Результат</v>
      </c>
      <c r="I1800" s="1" t="str">
        <f>"Позитивний"</f>
        <v>Позитивний</v>
      </c>
      <c r="J1800" s="1" t="str">
        <f>"Ні"</f>
        <v>Ні</v>
      </c>
    </row>
    <row r="1801" spans="1:10" ht="135" x14ac:dyDescent="0.25">
      <c r="A1801" s="1" t="str">
        <f>"1861-2020/27"</f>
        <v>1861-2020/27</v>
      </c>
      <c r="B1801" s="1" t="str">
        <f t="shared" si="328"/>
        <v>07.04.2020</v>
      </c>
      <c r="C1801" s="1" t="str">
        <f t="shared" si="324"/>
        <v>Закрито</v>
      </c>
      <c r="D180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01" s="1" t="str">
        <f>"Земельні питання"</f>
        <v>Земельні питання</v>
      </c>
      <c r="F18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1" s="1" t="str">
        <f>"1"</f>
        <v>1</v>
      </c>
      <c r="H1801" s="1" t="str">
        <f>"Результат"</f>
        <v>Результат</v>
      </c>
      <c r="I1801" s="1" t="str">
        <f>"Позитивний"</f>
        <v>Позитивний</v>
      </c>
      <c r="J1801" s="1" t="str">
        <f>"Так"</f>
        <v>Так</v>
      </c>
    </row>
    <row r="1802" spans="1:10" ht="135" x14ac:dyDescent="0.25">
      <c r="A1802" s="1" t="str">
        <f>"1859-2020/27"</f>
        <v>1859-2020/27</v>
      </c>
      <c r="B1802" s="1" t="str">
        <f t="shared" si="328"/>
        <v>07.04.2020</v>
      </c>
      <c r="C1802" s="1" t="str">
        <f t="shared" si="324"/>
        <v>Закрито</v>
      </c>
      <c r="D180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02" s="1" t="str">
        <f>"Земельні питання"</f>
        <v>Земельні питання</v>
      </c>
      <c r="F18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2" s="1" t="str">
        <f>"14"</f>
        <v>14</v>
      </c>
      <c r="H1802" s="1" t="str">
        <f>"Результат"</f>
        <v>Результат</v>
      </c>
      <c r="I1802" s="1" t="str">
        <f>"Позитивний"</f>
        <v>Позитивний</v>
      </c>
      <c r="J1802" s="1" t="str">
        <f>"Ні"</f>
        <v>Ні</v>
      </c>
    </row>
    <row r="1803" spans="1:10" ht="135" x14ac:dyDescent="0.25">
      <c r="A1803" s="1" t="str">
        <f>"1860-2020/27"</f>
        <v>1860-2020/27</v>
      </c>
      <c r="B1803" s="1" t="str">
        <f t="shared" si="328"/>
        <v>07.04.2020</v>
      </c>
      <c r="C1803" s="1" t="str">
        <f t="shared" si="324"/>
        <v>Закрито</v>
      </c>
      <c r="D180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03" s="1" t="str">
        <f>"Земельні питання"</f>
        <v>Земельні питання</v>
      </c>
      <c r="F18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3" s="1" t="str">
        <f>"1"</f>
        <v>1</v>
      </c>
      <c r="H1803" s="1" t="str">
        <f>"Результат"</f>
        <v>Результат</v>
      </c>
      <c r="I1803" s="1" t="str">
        <f>"Позитивний"</f>
        <v>Позитивний</v>
      </c>
      <c r="J1803" s="1" t="str">
        <f>"Так"</f>
        <v>Так</v>
      </c>
    </row>
    <row r="1804" spans="1:10" ht="45" x14ac:dyDescent="0.25">
      <c r="A1804" s="1" t="str">
        <f>"1855-2020/27"</f>
        <v>1855-2020/27</v>
      </c>
      <c r="B1804" s="1" t="str">
        <f t="shared" si="328"/>
        <v>07.04.2020</v>
      </c>
      <c r="C1804" s="1" t="str">
        <f t="shared" si="324"/>
        <v>Закрито</v>
      </c>
      <c r="D1804" s="1" t="str">
        <f>"Зняття з реєстрації місця проживання"</f>
        <v>Зняття з реєстрації місця проживання</v>
      </c>
      <c r="E1804" s="1" t="str">
        <f>"Реєстрація місця проживання"</f>
        <v>Реєстрація місця проживання</v>
      </c>
      <c r="F1804" s="1" t="str">
        <f>"Відділ реєстрації Новокаховської міської ради"</f>
        <v>Відділ реєстрації Новокаховської міської ради</v>
      </c>
      <c r="G1804" s="1" t="str">
        <f>"1"</f>
        <v>1</v>
      </c>
      <c r="H1804" s="1" t="str">
        <f>"Результат"</f>
        <v>Результат</v>
      </c>
      <c r="I1804" s="1" t="str">
        <f>"Позитивний"</f>
        <v>Позитивний</v>
      </c>
      <c r="J1804" s="1" t="str">
        <f>"Так"</f>
        <v>Так</v>
      </c>
    </row>
    <row r="1805" spans="1:10" ht="135" x14ac:dyDescent="0.25">
      <c r="A1805" s="1" t="str">
        <f>"1857-2020/27"</f>
        <v>1857-2020/27</v>
      </c>
      <c r="B1805" s="1" t="str">
        <f t="shared" si="328"/>
        <v>07.04.2020</v>
      </c>
      <c r="C1805" s="1" t="str">
        <f t="shared" si="324"/>
        <v>Закрито</v>
      </c>
      <c r="D180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05" s="1" t="str">
        <f>"Земельні питання"</f>
        <v>Земельні питання</v>
      </c>
      <c r="F18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5" s="1" t="str">
        <f>"14"</f>
        <v>14</v>
      </c>
      <c r="H1805" s="1" t="str">
        <f>"Результат"</f>
        <v>Результат</v>
      </c>
      <c r="I1805" s="1" t="str">
        <f>"Позитивний"</f>
        <v>Позитивний</v>
      </c>
      <c r="J1805" s="1" t="str">
        <f>"Ні"</f>
        <v>Ні</v>
      </c>
    </row>
    <row r="1806" spans="1:10" ht="135" x14ac:dyDescent="0.25">
      <c r="A1806" s="1" t="str">
        <f>"1856-2020/27"</f>
        <v>1856-2020/27</v>
      </c>
      <c r="B1806" s="1" t="str">
        <f t="shared" si="328"/>
        <v>07.04.2020</v>
      </c>
      <c r="C1806" s="1" t="str">
        <f t="shared" si="324"/>
        <v>Закрито</v>
      </c>
      <c r="D180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06" s="1" t="str">
        <f>"Земельні питання"</f>
        <v>Земельні питання</v>
      </c>
      <c r="F18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6" s="1" t="str">
        <f>"1"</f>
        <v>1</v>
      </c>
      <c r="H1806" s="1" t="str">
        <f>"Результат"</f>
        <v>Результат</v>
      </c>
      <c r="I1806" s="1" t="str">
        <f>"Позитивний"</f>
        <v>Позитивний</v>
      </c>
      <c r="J1806" s="1" t="str">
        <f>"Так"</f>
        <v>Так</v>
      </c>
    </row>
    <row r="1807" spans="1:10" ht="135" x14ac:dyDescent="0.25">
      <c r="A1807" s="1" t="str">
        <f>"1862-2020/27"</f>
        <v>1862-2020/27</v>
      </c>
      <c r="B1807" s="1" t="str">
        <f t="shared" ref="B1807:B1817" si="329">"08.04.2020"</f>
        <v>08.04.2020</v>
      </c>
      <c r="C1807" s="1" t="str">
        <f t="shared" si="324"/>
        <v>Закрито</v>
      </c>
      <c r="D180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07" s="1" t="str">
        <f>"Земельні питання"</f>
        <v>Земельні питання</v>
      </c>
      <c r="F18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7" s="1" t="str">
        <f>"14"</f>
        <v>14</v>
      </c>
      <c r="H1807" s="1" t="str">
        <f>"Результат"</f>
        <v>Результат</v>
      </c>
      <c r="I1807" s="1" t="str">
        <f>"Позитивний"</f>
        <v>Позитивний</v>
      </c>
      <c r="J1807" s="1" t="str">
        <f>"Ні"</f>
        <v>Ні</v>
      </c>
    </row>
    <row r="1808" spans="1:10" ht="135" x14ac:dyDescent="0.25">
      <c r="A1808" s="1" t="str">
        <f>"1864-2020/27"</f>
        <v>1864-2020/27</v>
      </c>
      <c r="B1808" s="1" t="str">
        <f t="shared" si="329"/>
        <v>08.04.2020</v>
      </c>
      <c r="C1808" s="1" t="str">
        <f t="shared" si="324"/>
        <v>Закрито</v>
      </c>
      <c r="D180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08" s="1" t="str">
        <f>"Земельні питання"</f>
        <v>Земельні питання</v>
      </c>
      <c r="F18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8" s="1" t="str">
        <f>"14"</f>
        <v>14</v>
      </c>
      <c r="H1808" s="1" t="str">
        <f>"Результат"</f>
        <v>Результат</v>
      </c>
      <c r="I1808" s="1" t="str">
        <f>"Позитивний"</f>
        <v>Позитивний</v>
      </c>
      <c r="J1808" s="1" t="str">
        <f>"Ні"</f>
        <v>Ні</v>
      </c>
    </row>
    <row r="1809" spans="1:10" ht="135" x14ac:dyDescent="0.25">
      <c r="A1809" s="1" t="str">
        <f>"1863-2020/27"</f>
        <v>1863-2020/27</v>
      </c>
      <c r="B1809" s="1" t="str">
        <f t="shared" si="329"/>
        <v>08.04.2020</v>
      </c>
      <c r="C1809" s="1" t="str">
        <f t="shared" si="324"/>
        <v>Закрито</v>
      </c>
      <c r="D180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09" s="1" t="str">
        <f>"Земельні питання"</f>
        <v>Земельні питання</v>
      </c>
      <c r="F18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09" s="1" t="str">
        <f>"14"</f>
        <v>14</v>
      </c>
      <c r="H1809" s="1" t="str">
        <f>"Результат"</f>
        <v>Результат</v>
      </c>
      <c r="I1809" s="1" t="str">
        <f>"Позитивний"</f>
        <v>Позитивний</v>
      </c>
      <c r="J1809" s="1" t="str">
        <f>"Ні"</f>
        <v>Ні</v>
      </c>
    </row>
    <row r="1810" spans="1:10" ht="45" x14ac:dyDescent="0.25">
      <c r="A1810" s="1" t="str">
        <f>"1868-2020/27"</f>
        <v>1868-2020/27</v>
      </c>
      <c r="B1810" s="1" t="str">
        <f t="shared" si="329"/>
        <v>08.04.2020</v>
      </c>
      <c r="C1810" s="1" t="str">
        <f t="shared" si="324"/>
        <v>Закрито</v>
      </c>
      <c r="D1810" s="1" t="str">
        <f>"Реєстрація місця проживання особи"</f>
        <v>Реєстрація місця проживання особи</v>
      </c>
      <c r="E1810" s="1" t="str">
        <f>"Реєстрація місця проживання"</f>
        <v>Реєстрація місця проживання</v>
      </c>
      <c r="F1810" s="1" t="str">
        <f>"Відділ реєстрації Новокаховської міської ради"</f>
        <v>Відділ реєстрації Новокаховської міської ради</v>
      </c>
      <c r="G1810" s="1" t="str">
        <f>"1"</f>
        <v>1</v>
      </c>
      <c r="H1810" s="1" t="str">
        <f>"Результат"</f>
        <v>Результат</v>
      </c>
      <c r="I1810" s="1" t="str">
        <f>"Позитивний"</f>
        <v>Позитивний</v>
      </c>
      <c r="J1810" s="1" t="str">
        <f>"Так"</f>
        <v>Так</v>
      </c>
    </row>
    <row r="1811" spans="1:10" ht="135" x14ac:dyDescent="0.25">
      <c r="A1811" s="1" t="str">
        <f>"1869-2020/27"</f>
        <v>1869-2020/27</v>
      </c>
      <c r="B1811" s="1" t="str">
        <f t="shared" si="329"/>
        <v>08.04.2020</v>
      </c>
      <c r="C1811" s="1" t="str">
        <f t="shared" si="324"/>
        <v>Закрито</v>
      </c>
      <c r="D181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11" s="1" t="str">
        <f>"Земельні питання"</f>
        <v>Земельні питання</v>
      </c>
      <c r="F18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11" s="1" t="str">
        <f>"14"</f>
        <v>14</v>
      </c>
      <c r="H1811" s="1" t="str">
        <f>"Результат"</f>
        <v>Результат</v>
      </c>
      <c r="I1811" s="1" t="str">
        <f>"Позитивний"</f>
        <v>Позитивний</v>
      </c>
      <c r="J1811" s="1" t="str">
        <f>"Ні"</f>
        <v>Ні</v>
      </c>
    </row>
    <row r="1812" spans="1:10" ht="135" x14ac:dyDescent="0.25">
      <c r="A1812" s="1" t="str">
        <f>"1871-2020/27"</f>
        <v>1871-2020/27</v>
      </c>
      <c r="B1812" s="1" t="str">
        <f t="shared" si="329"/>
        <v>08.04.2020</v>
      </c>
      <c r="C1812" s="1" t="str">
        <f t="shared" si="324"/>
        <v>Закрито</v>
      </c>
      <c r="D181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12" s="1" t="str">
        <f>"Земельні питання"</f>
        <v>Земельні питання</v>
      </c>
      <c r="F18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12" s="1" t="str">
        <f>"1"</f>
        <v>1</v>
      </c>
      <c r="H1812" s="1" t="str">
        <f>"Результат"</f>
        <v>Результат</v>
      </c>
      <c r="I1812" s="1" t="str">
        <f>"Позитивний"</f>
        <v>Позитивний</v>
      </c>
      <c r="J1812" s="1" t="str">
        <f>"Так"</f>
        <v>Так</v>
      </c>
    </row>
    <row r="1813" spans="1:10" ht="45" x14ac:dyDescent="0.25">
      <c r="A1813" s="1" t="str">
        <f>"1867-2020/27"</f>
        <v>1867-2020/27</v>
      </c>
      <c r="B1813" s="1" t="str">
        <f t="shared" si="329"/>
        <v>08.04.2020</v>
      </c>
      <c r="C1813" s="1" t="str">
        <f t="shared" si="324"/>
        <v>Закрито</v>
      </c>
      <c r="D1813" s="1" t="str">
        <f>"Реєстрація місця проживання особи"</f>
        <v>Реєстрація місця проживання особи</v>
      </c>
      <c r="E1813" s="1" t="str">
        <f>"Реєстрація місця проживання"</f>
        <v>Реєстрація місця проживання</v>
      </c>
      <c r="F1813" s="1" t="str">
        <f>"Відділ реєстрації Новокаховської міської ради"</f>
        <v>Відділ реєстрації Новокаховської міської ради</v>
      </c>
      <c r="G1813" s="1" t="str">
        <f>"1"</f>
        <v>1</v>
      </c>
      <c r="H1813" s="1" t="str">
        <f>"Результат"</f>
        <v>Результат</v>
      </c>
      <c r="I1813" s="1" t="str">
        <f>"Позитивний"</f>
        <v>Позитивний</v>
      </c>
      <c r="J1813" s="1" t="str">
        <f>"Так"</f>
        <v>Так</v>
      </c>
    </row>
    <row r="1814" spans="1:10" ht="135" x14ac:dyDescent="0.25">
      <c r="A1814" s="1" t="str">
        <f>"1865-2020/27"</f>
        <v>1865-2020/27</v>
      </c>
      <c r="B1814" s="1" t="str">
        <f t="shared" si="329"/>
        <v>08.04.2020</v>
      </c>
      <c r="C1814" s="1" t="str">
        <f t="shared" si="324"/>
        <v>Закрито</v>
      </c>
      <c r="D181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14" s="1" t="str">
        <f>"Земельні питання"</f>
        <v>Земельні питання</v>
      </c>
      <c r="F18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14" s="1" t="str">
        <f>"14"</f>
        <v>14</v>
      </c>
      <c r="H1814" s="1" t="str">
        <f>"Результат"</f>
        <v>Результат</v>
      </c>
      <c r="I1814" s="1" t="str">
        <f>"Позитивний"</f>
        <v>Позитивний</v>
      </c>
      <c r="J1814" s="1" t="str">
        <f>"Ні"</f>
        <v>Ні</v>
      </c>
    </row>
    <row r="1815" spans="1:10" ht="135" x14ac:dyDescent="0.25">
      <c r="A1815" s="1" t="str">
        <f>"1872-2020/27"</f>
        <v>1872-2020/27</v>
      </c>
      <c r="B1815" s="1" t="str">
        <f t="shared" si="329"/>
        <v>08.04.2020</v>
      </c>
      <c r="C1815" s="1" t="str">
        <f t="shared" si="324"/>
        <v>Закрито</v>
      </c>
      <c r="D181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15" s="1" t="str">
        <f>"Земельні питання"</f>
        <v>Земельні питання</v>
      </c>
      <c r="F18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15" s="1" t="str">
        <f>"14"</f>
        <v>14</v>
      </c>
      <c r="H1815" s="1" t="str">
        <f>"Результат"</f>
        <v>Результат</v>
      </c>
      <c r="I1815" s="1" t="str">
        <f>"Позитивний"</f>
        <v>Позитивний</v>
      </c>
      <c r="J1815" s="1" t="str">
        <f>"Ні"</f>
        <v>Ні</v>
      </c>
    </row>
    <row r="1816" spans="1:10" ht="135" x14ac:dyDescent="0.25">
      <c r="A1816" s="1" t="str">
        <f>"1870-2020/27"</f>
        <v>1870-2020/27</v>
      </c>
      <c r="B1816" s="1" t="str">
        <f t="shared" si="329"/>
        <v>08.04.2020</v>
      </c>
      <c r="C1816" s="1" t="str">
        <f t="shared" si="324"/>
        <v>Закрито</v>
      </c>
      <c r="D181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16" s="1" t="str">
        <f>"Земельні питання"</f>
        <v>Земельні питання</v>
      </c>
      <c r="F18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16" s="1" t="str">
        <f>"14"</f>
        <v>14</v>
      </c>
      <c r="H1816" s="1" t="str">
        <f>"Результат"</f>
        <v>Результат</v>
      </c>
      <c r="I1816" s="1" t="str">
        <f>"Позитивний"</f>
        <v>Позитивний</v>
      </c>
      <c r="J1816" s="1" t="str">
        <f>"Так"</f>
        <v>Так</v>
      </c>
    </row>
    <row r="1817" spans="1:10" ht="135" x14ac:dyDescent="0.25">
      <c r="A1817" s="1" t="str">
        <f>"1866-2020/27"</f>
        <v>1866-2020/27</v>
      </c>
      <c r="B1817" s="1" t="str">
        <f t="shared" si="329"/>
        <v>08.04.2020</v>
      </c>
      <c r="C1817" s="1" t="str">
        <f t="shared" si="324"/>
        <v>Закрито</v>
      </c>
      <c r="D181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17" s="1" t="str">
        <f>"Земельні питання"</f>
        <v>Земельні питання</v>
      </c>
      <c r="F18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17" s="1" t="str">
        <f>"14"</f>
        <v>14</v>
      </c>
      <c r="H1817" s="1" t="str">
        <f>"Результат"</f>
        <v>Результат</v>
      </c>
      <c r="I1817" s="1" t="str">
        <f>"Мотивована відмова"</f>
        <v>Мотивована відмова</v>
      </c>
      <c r="J1817" s="1" t="str">
        <f>"Ні"</f>
        <v>Ні</v>
      </c>
    </row>
    <row r="1818" spans="1:10" ht="90" x14ac:dyDescent="0.25">
      <c r="A1818" s="1" t="str">
        <f>"1880-2020/27"</f>
        <v>1880-2020/27</v>
      </c>
      <c r="B1818" s="1" t="str">
        <f t="shared" ref="B1818:B1828" si="330">"09.04.2020"</f>
        <v>09.04.2020</v>
      </c>
      <c r="C1818" s="1" t="str">
        <f t="shared" si="324"/>
        <v>Закрито</v>
      </c>
      <c r="D181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18" s="1" t="str">
        <f>"Інші послуги"</f>
        <v>Інші послуги</v>
      </c>
      <c r="F181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18" s="1" t="str">
        <f>"5"</f>
        <v>5</v>
      </c>
      <c r="H1818" s="1" t="str">
        <f>"Результат"</f>
        <v>Результат</v>
      </c>
      <c r="I1818" s="1" t="str">
        <f>"Позитивний"</f>
        <v>Позитивний</v>
      </c>
      <c r="J1818" s="1" t="str">
        <f>"Ні"</f>
        <v>Ні</v>
      </c>
    </row>
    <row r="1819" spans="1:10" ht="105" x14ac:dyDescent="0.25">
      <c r="A1819" s="1" t="str">
        <f>"1876-2020/27"</f>
        <v>1876-2020/27</v>
      </c>
      <c r="B1819" s="1" t="str">
        <f t="shared" si="330"/>
        <v>09.04.2020</v>
      </c>
      <c r="C1819" s="1" t="str">
        <f t="shared" si="324"/>
        <v>Закрито</v>
      </c>
      <c r="D1819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819" s="1" t="str">
        <f>"Будівництво"</f>
        <v>Будівництво</v>
      </c>
      <c r="F181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19" s="1" t="str">
        <f>"10"</f>
        <v>10</v>
      </c>
      <c r="H1819" s="1" t="str">
        <f>"Результат"</f>
        <v>Результат</v>
      </c>
      <c r="I1819" s="1" t="str">
        <f>"Позитивний"</f>
        <v>Позитивний</v>
      </c>
      <c r="J1819" s="1" t="str">
        <f>"Ні"</f>
        <v>Ні</v>
      </c>
    </row>
    <row r="1820" spans="1:10" ht="105" x14ac:dyDescent="0.25">
      <c r="A1820" s="1" t="str">
        <f>"1878-2020/27"</f>
        <v>1878-2020/27</v>
      </c>
      <c r="B1820" s="1" t="str">
        <f t="shared" si="330"/>
        <v>09.04.2020</v>
      </c>
      <c r="C1820" s="1" t="str">
        <f t="shared" si="324"/>
        <v>Закрито</v>
      </c>
      <c r="D1820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820" s="1" t="str">
        <f>"Будівництво"</f>
        <v>Будівництво</v>
      </c>
      <c r="F182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20" s="1" t="str">
        <f>"10"</f>
        <v>10</v>
      </c>
      <c r="H1820" s="1" t="str">
        <f>"Результат"</f>
        <v>Результат</v>
      </c>
      <c r="I1820" s="1" t="str">
        <f>"Позитивний"</f>
        <v>Позитивний</v>
      </c>
      <c r="J1820" s="1" t="str">
        <f>"Ні"</f>
        <v>Ні</v>
      </c>
    </row>
    <row r="1821" spans="1:10" ht="105" x14ac:dyDescent="0.25">
      <c r="A1821" s="1" t="str">
        <f>"1877-2020/27"</f>
        <v>1877-2020/27</v>
      </c>
      <c r="B1821" s="1" t="str">
        <f t="shared" si="330"/>
        <v>09.04.2020</v>
      </c>
      <c r="C1821" s="1" t="str">
        <f t="shared" si="324"/>
        <v>Закрито</v>
      </c>
      <c r="D1821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821" s="1" t="str">
        <f>"Будівництво"</f>
        <v>Будівництво</v>
      </c>
      <c r="F182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21" s="1" t="str">
        <f>"10"</f>
        <v>10</v>
      </c>
      <c r="H1821" s="1" t="str">
        <f>"Результат"</f>
        <v>Результат</v>
      </c>
      <c r="I1821" s="1" t="str">
        <f>"Позитивний"</f>
        <v>Позитивний</v>
      </c>
      <c r="J1821" s="1" t="str">
        <f>"Ні"</f>
        <v>Ні</v>
      </c>
    </row>
    <row r="1822" spans="1:10" ht="45" x14ac:dyDescent="0.25">
      <c r="A1822" s="1" t="str">
        <f>"1883-2020/27"</f>
        <v>1883-2020/27</v>
      </c>
      <c r="B1822" s="1" t="str">
        <f t="shared" si="330"/>
        <v>09.04.2020</v>
      </c>
      <c r="C1822" s="1" t="str">
        <f t="shared" si="324"/>
        <v>Закрито</v>
      </c>
      <c r="D1822" s="1" t="str">
        <f>"Зняття з реєстрації місця проживання"</f>
        <v>Зняття з реєстрації місця проживання</v>
      </c>
      <c r="E1822" s="1" t="str">
        <f>"Реєстрація місця проживання"</f>
        <v>Реєстрація місця проживання</v>
      </c>
      <c r="F1822" s="1" t="str">
        <f>"Відділ реєстрації Новокаховської міської ради"</f>
        <v>Відділ реєстрації Новокаховської міської ради</v>
      </c>
      <c r="G1822" s="1" t="str">
        <f>"1"</f>
        <v>1</v>
      </c>
      <c r="H1822" s="1" t="str">
        <f>"Результат"</f>
        <v>Результат</v>
      </c>
      <c r="I1822" s="1" t="str">
        <f>"Позитивний"</f>
        <v>Позитивний</v>
      </c>
      <c r="J1822" s="1" t="str">
        <f>"Так"</f>
        <v>Так</v>
      </c>
    </row>
    <row r="1823" spans="1:10" ht="105" x14ac:dyDescent="0.25">
      <c r="A1823" s="1" t="str">
        <f>"1882-2020/27"</f>
        <v>1882-2020/27</v>
      </c>
      <c r="B1823" s="1" t="str">
        <f t="shared" si="330"/>
        <v>09.04.2020</v>
      </c>
      <c r="C1823" s="1" t="str">
        <f t="shared" si="324"/>
        <v>Закрито</v>
      </c>
      <c r="D18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23" s="1" t="str">
        <f>"Земельні питання"</f>
        <v>Земельні питання</v>
      </c>
      <c r="F182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23" s="1" t="str">
        <f>"1"</f>
        <v>1</v>
      </c>
      <c r="H1823" s="1" t="str">
        <f>"Результат"</f>
        <v>Результат</v>
      </c>
      <c r="I1823" s="1" t="str">
        <f>"Позитивний"</f>
        <v>Позитивний</v>
      </c>
      <c r="J1823" s="1" t="str">
        <f>"Так"</f>
        <v>Так</v>
      </c>
    </row>
    <row r="1824" spans="1:10" ht="90" x14ac:dyDescent="0.25">
      <c r="A1824" s="1" t="str">
        <f>"1881-2020/27"</f>
        <v>1881-2020/27</v>
      </c>
      <c r="B1824" s="1" t="str">
        <f t="shared" si="330"/>
        <v>09.04.2020</v>
      </c>
      <c r="C1824" s="1" t="str">
        <f t="shared" si="324"/>
        <v>Закрито</v>
      </c>
      <c r="D182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24" s="1" t="str">
        <f>"Інші послуги"</f>
        <v>Інші послуги</v>
      </c>
      <c r="F182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24" s="1" t="str">
        <f>"5"</f>
        <v>5</v>
      </c>
      <c r="H1824" s="1" t="str">
        <f>"Результат"</f>
        <v>Результат</v>
      </c>
      <c r="I1824" s="1" t="str">
        <f>"Позитивний"</f>
        <v>Позитивний</v>
      </c>
      <c r="J1824" s="1" t="str">
        <f t="shared" ref="J1824:J1830" si="331">"Ні"</f>
        <v>Ні</v>
      </c>
    </row>
    <row r="1825" spans="1:10" ht="135" x14ac:dyDescent="0.25">
      <c r="A1825" s="1" t="str">
        <f>"1879-2020/27"</f>
        <v>1879-2020/27</v>
      </c>
      <c r="B1825" s="1" t="str">
        <f t="shared" si="330"/>
        <v>09.04.2020</v>
      </c>
      <c r="C1825" s="1" t="str">
        <f t="shared" si="324"/>
        <v>Закрито</v>
      </c>
      <c r="D18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25" s="1" t="str">
        <f>"Земельні питання"</f>
        <v>Земельні питання</v>
      </c>
      <c r="F18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25" s="1" t="str">
        <f>"3"</f>
        <v>3</v>
      </c>
      <c r="H1825" s="1" t="str">
        <f>"Результат"</f>
        <v>Результат</v>
      </c>
      <c r="I1825" s="1" t="str">
        <f>"Позитивний"</f>
        <v>Позитивний</v>
      </c>
      <c r="J1825" s="1" t="str">
        <f t="shared" si="331"/>
        <v>Ні</v>
      </c>
    </row>
    <row r="1826" spans="1:10" ht="105" x14ac:dyDescent="0.25">
      <c r="A1826" s="1" t="str">
        <f>"1874-2020/27"</f>
        <v>1874-2020/27</v>
      </c>
      <c r="B1826" s="1" t="str">
        <f t="shared" si="330"/>
        <v>09.04.2020</v>
      </c>
      <c r="C1826" s="1" t="str">
        <f t="shared" si="324"/>
        <v>Закрито</v>
      </c>
      <c r="D1826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826" s="1" t="str">
        <f>"Будівництво"</f>
        <v>Будівництво</v>
      </c>
      <c r="F182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26" s="1" t="str">
        <f>"10"</f>
        <v>10</v>
      </c>
      <c r="H1826" s="1" t="str">
        <f>"Результат"</f>
        <v>Результат</v>
      </c>
      <c r="I1826" s="1" t="str">
        <f>"Позитивний"</f>
        <v>Позитивний</v>
      </c>
      <c r="J1826" s="1" t="str">
        <f t="shared" si="331"/>
        <v>Ні</v>
      </c>
    </row>
    <row r="1827" spans="1:10" ht="105" x14ac:dyDescent="0.25">
      <c r="A1827" s="1" t="str">
        <f>"1875-2020/27"</f>
        <v>1875-2020/27</v>
      </c>
      <c r="B1827" s="1" t="str">
        <f t="shared" si="330"/>
        <v>09.04.2020</v>
      </c>
      <c r="C1827" s="1" t="str">
        <f t="shared" si="324"/>
        <v>Закрито</v>
      </c>
      <c r="D1827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827" s="1" t="str">
        <f>"Будівництво"</f>
        <v>Будівництво</v>
      </c>
      <c r="F182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27" s="1" t="str">
        <f>"10"</f>
        <v>10</v>
      </c>
      <c r="H1827" s="1" t="str">
        <f>"Результат"</f>
        <v>Результат</v>
      </c>
      <c r="I1827" s="1" t="str">
        <f>"Позитивний"</f>
        <v>Позитивний</v>
      </c>
      <c r="J1827" s="1" t="str">
        <f t="shared" si="331"/>
        <v>Ні</v>
      </c>
    </row>
    <row r="1828" spans="1:10" ht="135" x14ac:dyDescent="0.25">
      <c r="A1828" s="1" t="str">
        <f>"1873-2020/27"</f>
        <v>1873-2020/27</v>
      </c>
      <c r="B1828" s="1" t="str">
        <f t="shared" si="330"/>
        <v>09.04.2020</v>
      </c>
      <c r="C1828" s="1" t="str">
        <f t="shared" si="324"/>
        <v>Закрито</v>
      </c>
      <c r="D1828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28" s="1" t="str">
        <f>"Земельні питання"</f>
        <v>Земельні питання</v>
      </c>
      <c r="F18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28" s="1" t="str">
        <f>"14"</f>
        <v>14</v>
      </c>
      <c r="H1828" s="1" t="str">
        <f>"Результат"</f>
        <v>Результат</v>
      </c>
      <c r="I1828" s="1" t="str">
        <f>"Позитивний"</f>
        <v>Позитивний</v>
      </c>
      <c r="J1828" s="1" t="str">
        <f t="shared" si="331"/>
        <v>Ні</v>
      </c>
    </row>
    <row r="1829" spans="1:10" ht="135" x14ac:dyDescent="0.25">
      <c r="A1829" s="1" t="str">
        <f>"1887-2020/27"</f>
        <v>1887-2020/27</v>
      </c>
      <c r="B1829" s="1" t="str">
        <f t="shared" ref="B1829:B1837" si="332">"10.04.2020"</f>
        <v>10.04.2020</v>
      </c>
      <c r="C1829" s="1" t="str">
        <f t="shared" ref="C1829:C1892" si="333">"Закрито"</f>
        <v>Закрито</v>
      </c>
      <c r="D182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29" s="1" t="str">
        <f>"Земельні питання"</f>
        <v>Земельні питання</v>
      </c>
      <c r="F18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29" s="1" t="str">
        <f>"14"</f>
        <v>14</v>
      </c>
      <c r="H1829" s="1" t="str">
        <f>"Результат"</f>
        <v>Результат</v>
      </c>
      <c r="I1829" s="1" t="str">
        <f>"Позитивний"</f>
        <v>Позитивний</v>
      </c>
      <c r="J1829" s="1" t="str">
        <f t="shared" si="331"/>
        <v>Ні</v>
      </c>
    </row>
    <row r="1830" spans="1:10" ht="225" x14ac:dyDescent="0.25">
      <c r="A1830" s="1" t="str">
        <f>"1892-2020/27"</f>
        <v>1892-2020/27</v>
      </c>
      <c r="B1830" s="1" t="str">
        <f t="shared" si="332"/>
        <v>10.04.2020</v>
      </c>
      <c r="C1830" s="1" t="str">
        <f t="shared" si="333"/>
        <v>Закрито</v>
      </c>
      <c r="D1830" s="1" t="s">
        <v>0</v>
      </c>
      <c r="E1830" s="1" t="str">
        <f>"Будівництво"</f>
        <v>Будівництво</v>
      </c>
      <c r="F183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30" s="1" t="str">
        <f>"10"</f>
        <v>10</v>
      </c>
      <c r="H1830" s="1" t="str">
        <f>"Результат"</f>
        <v>Результат</v>
      </c>
      <c r="I1830" s="1" t="str">
        <f>"Позитивний"</f>
        <v>Позитивний</v>
      </c>
      <c r="J1830" s="1" t="str">
        <f t="shared" si="331"/>
        <v>Ні</v>
      </c>
    </row>
    <row r="1831" spans="1:10" ht="45" x14ac:dyDescent="0.25">
      <c r="A1831" s="1" t="str">
        <f>"1890-2020/27"</f>
        <v>1890-2020/27</v>
      </c>
      <c r="B1831" s="1" t="str">
        <f t="shared" si="332"/>
        <v>10.04.2020</v>
      </c>
      <c r="C1831" s="1" t="str">
        <f t="shared" si="333"/>
        <v>Закрито</v>
      </c>
      <c r="D1831" s="1" t="str">
        <f>"Реєстрація місця проживання особи"</f>
        <v>Реєстрація місця проживання особи</v>
      </c>
      <c r="E1831" s="1" t="str">
        <f>"Реєстрація місця проживання"</f>
        <v>Реєстрація місця проживання</v>
      </c>
      <c r="F1831" s="1" t="str">
        <f>"Відділ реєстрації Новокаховської міської ради"</f>
        <v>Відділ реєстрації Новокаховської міської ради</v>
      </c>
      <c r="G1831" s="1" t="str">
        <f>"1"</f>
        <v>1</v>
      </c>
      <c r="H1831" s="1" t="str">
        <f>"Результат"</f>
        <v>Результат</v>
      </c>
      <c r="I1831" s="1" t="str">
        <f>"Позитивний"</f>
        <v>Позитивний</v>
      </c>
      <c r="J1831" s="1" t="str">
        <f>"Так"</f>
        <v>Так</v>
      </c>
    </row>
    <row r="1832" spans="1:10" ht="90" x14ac:dyDescent="0.25">
      <c r="A1832" s="1" t="str">
        <f>"1884-2020/27"</f>
        <v>1884-2020/27</v>
      </c>
      <c r="B1832" s="1" t="str">
        <f t="shared" si="332"/>
        <v>10.04.2020</v>
      </c>
      <c r="C1832" s="1" t="str">
        <f t="shared" si="333"/>
        <v>Закрито</v>
      </c>
      <c r="D183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32" s="1" t="str">
        <f>"Інші послуги"</f>
        <v>Інші послуги</v>
      </c>
      <c r="F183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32" s="1" t="str">
        <f>"5"</f>
        <v>5</v>
      </c>
      <c r="H1832" s="1" t="str">
        <f>"Результат"</f>
        <v>Результат</v>
      </c>
      <c r="I1832" s="1" t="str">
        <f>"Позитивний"</f>
        <v>Позитивний</v>
      </c>
      <c r="J1832" s="1" t="str">
        <f>"Ні"</f>
        <v>Ні</v>
      </c>
    </row>
    <row r="1833" spans="1:10" ht="90" x14ac:dyDescent="0.25">
      <c r="A1833" s="1" t="str">
        <f>"1885-2020/27"</f>
        <v>1885-2020/27</v>
      </c>
      <c r="B1833" s="1" t="str">
        <f t="shared" si="332"/>
        <v>10.04.2020</v>
      </c>
      <c r="C1833" s="1" t="str">
        <f t="shared" si="333"/>
        <v>Закрито</v>
      </c>
      <c r="D183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33" s="1" t="str">
        <f>"Інші послуги"</f>
        <v>Інші послуги</v>
      </c>
      <c r="F183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33" s="1" t="str">
        <f>"5"</f>
        <v>5</v>
      </c>
      <c r="H1833" s="1" t="str">
        <f>"Результат"</f>
        <v>Результат</v>
      </c>
      <c r="I1833" s="1" t="str">
        <f>"Позитивний"</f>
        <v>Позитивний</v>
      </c>
      <c r="J1833" s="1" t="str">
        <f>"Ні"</f>
        <v>Ні</v>
      </c>
    </row>
    <row r="1834" spans="1:10" ht="45" x14ac:dyDescent="0.25">
      <c r="A1834" s="1" t="str">
        <f>"1891-2020/27"</f>
        <v>1891-2020/27</v>
      </c>
      <c r="B1834" s="1" t="str">
        <f t="shared" si="332"/>
        <v>10.04.2020</v>
      </c>
      <c r="C1834" s="1" t="str">
        <f t="shared" si="333"/>
        <v>Закрито</v>
      </c>
      <c r="D1834" s="1" t="str">
        <f>"Реєстрація місця проживання особи"</f>
        <v>Реєстрація місця проживання особи</v>
      </c>
      <c r="E1834" s="1" t="str">
        <f>"Реєстрація місця проживання"</f>
        <v>Реєстрація місця проживання</v>
      </c>
      <c r="F1834" s="1" t="str">
        <f>"Відділ реєстрації Новокаховської міської ради"</f>
        <v>Відділ реєстрації Новокаховської міської ради</v>
      </c>
      <c r="G1834" s="1" t="str">
        <f>"1"</f>
        <v>1</v>
      </c>
      <c r="H1834" s="1" t="str">
        <f>"Результат"</f>
        <v>Результат</v>
      </c>
      <c r="I1834" s="1" t="str">
        <f>"Позитивний"</f>
        <v>Позитивний</v>
      </c>
      <c r="J1834" s="1" t="str">
        <f>"Так"</f>
        <v>Так</v>
      </c>
    </row>
    <row r="1835" spans="1:10" ht="135" x14ac:dyDescent="0.25">
      <c r="A1835" s="1" t="str">
        <f>"1886-2020/27"</f>
        <v>1886-2020/27</v>
      </c>
      <c r="B1835" s="1" t="str">
        <f t="shared" si="332"/>
        <v>10.04.2020</v>
      </c>
      <c r="C1835" s="1" t="str">
        <f t="shared" si="333"/>
        <v>Закрито</v>
      </c>
      <c r="D183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35" s="1" t="str">
        <f>"Земельні питання"</f>
        <v>Земельні питання</v>
      </c>
      <c r="F18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35" s="1" t="str">
        <f>"14"</f>
        <v>14</v>
      </c>
      <c r="H1835" s="1" t="str">
        <f>"Результат"</f>
        <v>Результат</v>
      </c>
      <c r="I1835" s="1" t="str">
        <f>"Позитивний"</f>
        <v>Позитивний</v>
      </c>
      <c r="J1835" s="1" t="str">
        <f>"Ні"</f>
        <v>Ні</v>
      </c>
    </row>
    <row r="1836" spans="1:10" ht="90" x14ac:dyDescent="0.25">
      <c r="A1836" s="1" t="str">
        <f>"1888-2020/27"</f>
        <v>1888-2020/27</v>
      </c>
      <c r="B1836" s="1" t="str">
        <f t="shared" si="332"/>
        <v>10.04.2020</v>
      </c>
      <c r="C1836" s="1" t="str">
        <f t="shared" si="333"/>
        <v>Закрито</v>
      </c>
      <c r="D183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36" s="1" t="str">
        <f>"Інші послуги"</f>
        <v>Інші послуги</v>
      </c>
      <c r="F183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36" s="1" t="str">
        <f>"5"</f>
        <v>5</v>
      </c>
      <c r="H1836" s="1" t="str">
        <f>"Результат"</f>
        <v>Результат</v>
      </c>
      <c r="I1836" s="1" t="str">
        <f>"Мотивована відмова"</f>
        <v>Мотивована відмова</v>
      </c>
      <c r="J1836" s="1" t="str">
        <f>"Ні"</f>
        <v>Ні</v>
      </c>
    </row>
    <row r="1837" spans="1:10" ht="135" x14ac:dyDescent="0.25">
      <c r="A1837" s="1" t="str">
        <f>"1889-2020/27"</f>
        <v>1889-2020/27</v>
      </c>
      <c r="B1837" s="1" t="str">
        <f t="shared" si="332"/>
        <v>10.04.2020</v>
      </c>
      <c r="C1837" s="1" t="str">
        <f t="shared" si="333"/>
        <v>Закрито</v>
      </c>
      <c r="D1837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37" s="1" t="str">
        <f>"Земельні питання"</f>
        <v>Земельні питання</v>
      </c>
      <c r="F18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37" s="1" t="str">
        <f>"14"</f>
        <v>14</v>
      </c>
      <c r="H1837" s="1" t="str">
        <f>"Результат"</f>
        <v>Результат</v>
      </c>
      <c r="I1837" s="1" t="str">
        <f>"Позитивний"</f>
        <v>Позитивний</v>
      </c>
      <c r="J1837" s="1" t="str">
        <f>"Ні"</f>
        <v>Ні</v>
      </c>
    </row>
    <row r="1838" spans="1:10" ht="45" x14ac:dyDescent="0.25">
      <c r="A1838" s="1" t="str">
        <f>"test-1"</f>
        <v>test-1</v>
      </c>
      <c r="B1838" s="1" t="str">
        <f>"12.04.2020"</f>
        <v>12.04.2020</v>
      </c>
      <c r="C1838" s="1" t="str">
        <f t="shared" si="333"/>
        <v>Закрито</v>
      </c>
      <c r="D1838" s="1" t="str">
        <f>"Реєстрація місця проживання особи"</f>
        <v>Реєстрація місця проживання особи</v>
      </c>
      <c r="E1838" s="1" t="str">
        <f>"Реєстрація місця проживання"</f>
        <v>Реєстрація місця проживання</v>
      </c>
      <c r="F1838" s="1" t="str">
        <f>"Відділ реєстрації Новокаховської міської ради"</f>
        <v>Відділ реєстрації Новокаховської міської ради</v>
      </c>
      <c r="G1838" s="1" t="str">
        <f>"1"</f>
        <v>1</v>
      </c>
      <c r="H1838" s="1" t="str">
        <f>"Результат"</f>
        <v>Результат</v>
      </c>
      <c r="I1838" s="1" t="str">
        <f>"Позитивний"</f>
        <v>Позитивний</v>
      </c>
      <c r="J1838" s="1" t="str">
        <f>"Ні"</f>
        <v>Ні</v>
      </c>
    </row>
    <row r="1839" spans="1:10" ht="45" x14ac:dyDescent="0.25">
      <c r="A1839" s="1" t="str">
        <f>"1894-2020/27"</f>
        <v>1894-2020/27</v>
      </c>
      <c r="B1839" s="1" t="str">
        <f t="shared" ref="B1839:B1854" si="334">"13.04.2020"</f>
        <v>13.04.2020</v>
      </c>
      <c r="C1839" s="1" t="str">
        <f t="shared" si="333"/>
        <v>Закрито</v>
      </c>
      <c r="D1839" s="1" t="str">
        <f>"Реєстрація місця проживання особи"</f>
        <v>Реєстрація місця проживання особи</v>
      </c>
      <c r="E1839" s="1" t="str">
        <f>"Реєстрація місця проживання"</f>
        <v>Реєстрація місця проживання</v>
      </c>
      <c r="F1839" s="1" t="str">
        <f>"Відділ реєстрації Новокаховської міської ради"</f>
        <v>Відділ реєстрації Новокаховської міської ради</v>
      </c>
      <c r="G1839" s="1" t="str">
        <f>"1"</f>
        <v>1</v>
      </c>
      <c r="H1839" s="1" t="str">
        <f>"Результат"</f>
        <v>Результат</v>
      </c>
      <c r="I1839" s="1" t="str">
        <f>"Позитивний"</f>
        <v>Позитивний</v>
      </c>
      <c r="J1839" s="1" t="str">
        <f>"Так"</f>
        <v>Так</v>
      </c>
    </row>
    <row r="1840" spans="1:10" ht="135" x14ac:dyDescent="0.25">
      <c r="A1840" s="1" t="str">
        <f>"1898-2020/27"</f>
        <v>1898-2020/27</v>
      </c>
      <c r="B1840" s="1" t="str">
        <f t="shared" si="334"/>
        <v>13.04.2020</v>
      </c>
      <c r="C1840" s="1" t="str">
        <f t="shared" si="333"/>
        <v>Закрито</v>
      </c>
      <c r="D184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40" s="1" t="str">
        <f>"Земельні питання"</f>
        <v>Земельні питання</v>
      </c>
      <c r="F18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40" s="1" t="str">
        <f>"14"</f>
        <v>14</v>
      </c>
      <c r="H1840" s="1" t="str">
        <f>"Результат"</f>
        <v>Результат</v>
      </c>
      <c r="I1840" s="1" t="str">
        <f>"Позитивний"</f>
        <v>Позитивний</v>
      </c>
      <c r="J1840" s="1" t="str">
        <f>"Ні"</f>
        <v>Ні</v>
      </c>
    </row>
    <row r="1841" spans="1:10" ht="135" x14ac:dyDescent="0.25">
      <c r="A1841" s="1" t="str">
        <f>"1897-2020/27"</f>
        <v>1897-2020/27</v>
      </c>
      <c r="B1841" s="1" t="str">
        <f t="shared" si="334"/>
        <v>13.04.2020</v>
      </c>
      <c r="C1841" s="1" t="str">
        <f t="shared" si="333"/>
        <v>Закрито</v>
      </c>
      <c r="D1841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41" s="1" t="str">
        <f>"Земельні питання"</f>
        <v>Земельні питання</v>
      </c>
      <c r="F18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41" s="1" t="str">
        <f>"14"</f>
        <v>14</v>
      </c>
      <c r="H1841" s="1" t="str">
        <f>"Результат"</f>
        <v>Результат</v>
      </c>
      <c r="I1841" s="1" t="str">
        <f>"Позитивний"</f>
        <v>Позитивний</v>
      </c>
      <c r="J1841" s="1" t="str">
        <f>"Ні"</f>
        <v>Ні</v>
      </c>
    </row>
    <row r="1842" spans="1:10" ht="135" x14ac:dyDescent="0.25">
      <c r="A1842" s="1" t="str">
        <f>"1899-2020/27"</f>
        <v>1899-2020/27</v>
      </c>
      <c r="B1842" s="1" t="str">
        <f t="shared" si="334"/>
        <v>13.04.2020</v>
      </c>
      <c r="C1842" s="1" t="str">
        <f t="shared" si="333"/>
        <v>Закрито</v>
      </c>
      <c r="D184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42" s="1" t="str">
        <f>"Земельні питання"</f>
        <v>Земельні питання</v>
      </c>
      <c r="F18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42" s="1" t="str">
        <f>"14"</f>
        <v>14</v>
      </c>
      <c r="H1842" s="1" t="str">
        <f>"Результат"</f>
        <v>Результат</v>
      </c>
      <c r="I1842" s="1" t="str">
        <f>"Позитивний"</f>
        <v>Позитивний</v>
      </c>
      <c r="J1842" s="1" t="str">
        <f>"Ні"</f>
        <v>Ні</v>
      </c>
    </row>
    <row r="1843" spans="1:10" ht="45" x14ac:dyDescent="0.25">
      <c r="A1843" s="1" t="str">
        <f>"1893-2020/27"</f>
        <v>1893-2020/27</v>
      </c>
      <c r="B1843" s="1" t="str">
        <f t="shared" si="334"/>
        <v>13.04.2020</v>
      </c>
      <c r="C1843" s="1" t="str">
        <f t="shared" si="333"/>
        <v>Закрито</v>
      </c>
      <c r="D1843" s="1" t="str">
        <f>"Реєстрація місця проживання особи"</f>
        <v>Реєстрація місця проживання особи</v>
      </c>
      <c r="E1843" s="1" t="str">
        <f>"Реєстрація місця проживання"</f>
        <v>Реєстрація місця проживання</v>
      </c>
      <c r="F1843" s="1" t="str">
        <f>"Відділ реєстрації Новокаховської міської ради"</f>
        <v>Відділ реєстрації Новокаховської міської ради</v>
      </c>
      <c r="G1843" s="1" t="str">
        <f>"1"</f>
        <v>1</v>
      </c>
      <c r="H1843" s="1" t="str">
        <f>"Результат"</f>
        <v>Результат</v>
      </c>
      <c r="I1843" s="1" t="str">
        <f>"Позитивний"</f>
        <v>Позитивний</v>
      </c>
      <c r="J1843" s="1" t="str">
        <f>"Так"</f>
        <v>Так</v>
      </c>
    </row>
    <row r="1844" spans="1:10" ht="135" x14ac:dyDescent="0.25">
      <c r="A1844" s="1" t="str">
        <f>"1900-2020/27"</f>
        <v>1900-2020/27</v>
      </c>
      <c r="B1844" s="1" t="str">
        <f t="shared" si="334"/>
        <v>13.04.2020</v>
      </c>
      <c r="C1844" s="1" t="str">
        <f t="shared" si="333"/>
        <v>Закрито</v>
      </c>
      <c r="D184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844" s="1" t="str">
        <f>"Земельні питання"</f>
        <v>Земельні питання</v>
      </c>
      <c r="F18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44" s="1" t="str">
        <f>"14"</f>
        <v>14</v>
      </c>
      <c r="H1844" s="1" t="str">
        <f>"Результат"</f>
        <v>Результат</v>
      </c>
      <c r="I1844" s="1" t="str">
        <f>"Позитивний"</f>
        <v>Позитивний</v>
      </c>
      <c r="J1844" s="1" t="str">
        <f>"Ні"</f>
        <v>Ні</v>
      </c>
    </row>
    <row r="1845" spans="1:10" ht="45" x14ac:dyDescent="0.25">
      <c r="A1845" s="1" t="str">
        <f>"1907-2020/27"</f>
        <v>1907-2020/27</v>
      </c>
      <c r="B1845" s="1" t="str">
        <f t="shared" si="334"/>
        <v>13.04.2020</v>
      </c>
      <c r="C1845" s="1" t="str">
        <f t="shared" si="333"/>
        <v>Закрито</v>
      </c>
      <c r="D1845" s="1" t="str">
        <f>"Зняття з реєстрації місця проживання"</f>
        <v>Зняття з реєстрації місця проживання</v>
      </c>
      <c r="E1845" s="1" t="str">
        <f>"Реєстрація місця проживання"</f>
        <v>Реєстрація місця проживання</v>
      </c>
      <c r="F1845" s="1" t="str">
        <f>"Відділ реєстрації Новокаховської міської ради"</f>
        <v>Відділ реєстрації Новокаховської міської ради</v>
      </c>
      <c r="G1845" s="1" t="str">
        <f t="shared" ref="G1845:G1850" si="335">"1"</f>
        <v>1</v>
      </c>
      <c r="H1845" s="1" t="str">
        <f>"Результат"</f>
        <v>Результат</v>
      </c>
      <c r="I1845" s="1" t="str">
        <f>"Позитивний"</f>
        <v>Позитивний</v>
      </c>
      <c r="J1845" s="1" t="str">
        <f t="shared" ref="J1845:J1850" si="336">"Так"</f>
        <v>Так</v>
      </c>
    </row>
    <row r="1846" spans="1:10" ht="45" x14ac:dyDescent="0.25">
      <c r="A1846" s="1" t="str">
        <f>"1895-2020/27"</f>
        <v>1895-2020/27</v>
      </c>
      <c r="B1846" s="1" t="str">
        <f t="shared" si="334"/>
        <v>13.04.2020</v>
      </c>
      <c r="C1846" s="1" t="str">
        <f t="shared" si="333"/>
        <v>Закрито</v>
      </c>
      <c r="D1846" s="1" t="str">
        <f>"Реєстрація місця проживання особи"</f>
        <v>Реєстрація місця проживання особи</v>
      </c>
      <c r="E1846" s="1" t="str">
        <f>"Реєстрація місця проживання"</f>
        <v>Реєстрація місця проживання</v>
      </c>
      <c r="F1846" s="1" t="str">
        <f>"Відділ реєстрації Новокаховської міської ради"</f>
        <v>Відділ реєстрації Новокаховської міської ради</v>
      </c>
      <c r="G1846" s="1" t="str">
        <f t="shared" si="335"/>
        <v>1</v>
      </c>
      <c r="H1846" s="1" t="str">
        <f>"Результат"</f>
        <v>Результат</v>
      </c>
      <c r="I1846" s="1" t="str">
        <f>"Позитивний"</f>
        <v>Позитивний</v>
      </c>
      <c r="J1846" s="1" t="str">
        <f t="shared" si="336"/>
        <v>Так</v>
      </c>
    </row>
    <row r="1847" spans="1:10" ht="45" x14ac:dyDescent="0.25">
      <c r="A1847" s="1" t="str">
        <f>"1902-2020/27"</f>
        <v>1902-2020/27</v>
      </c>
      <c r="B1847" s="1" t="str">
        <f t="shared" si="334"/>
        <v>13.04.2020</v>
      </c>
      <c r="C1847" s="1" t="str">
        <f t="shared" si="333"/>
        <v>Закрито</v>
      </c>
      <c r="D1847" s="1" t="str">
        <f>"Реєстрація місця проживання особи"</f>
        <v>Реєстрація місця проживання особи</v>
      </c>
      <c r="E1847" s="1" t="str">
        <f>"Реєстрація місця проживання"</f>
        <v>Реєстрація місця проживання</v>
      </c>
      <c r="F1847" s="1" t="str">
        <f>"Відділ реєстрації Новокаховської міської ради"</f>
        <v>Відділ реєстрації Новокаховської міської ради</v>
      </c>
      <c r="G1847" s="1" t="str">
        <f t="shared" si="335"/>
        <v>1</v>
      </c>
      <c r="H1847" s="1" t="str">
        <f>"Результат"</f>
        <v>Результат</v>
      </c>
      <c r="I1847" s="1" t="str">
        <f>"Позитивний"</f>
        <v>Позитивний</v>
      </c>
      <c r="J1847" s="1" t="str">
        <f t="shared" si="336"/>
        <v>Так</v>
      </c>
    </row>
    <row r="1848" spans="1:10" ht="45" x14ac:dyDescent="0.25">
      <c r="A1848" s="1" t="str">
        <f>"1904-2020/27"</f>
        <v>1904-2020/27</v>
      </c>
      <c r="B1848" s="1" t="str">
        <f t="shared" si="334"/>
        <v>13.04.2020</v>
      </c>
      <c r="C1848" s="1" t="str">
        <f t="shared" si="333"/>
        <v>Закрито</v>
      </c>
      <c r="D1848" s="1" t="str">
        <f>"Зняття з реєстрації місця проживання"</f>
        <v>Зняття з реєстрації місця проживання</v>
      </c>
      <c r="E1848" s="1" t="str">
        <f>"Реєстрація місця проживання"</f>
        <v>Реєстрація місця проживання</v>
      </c>
      <c r="F1848" s="1" t="str">
        <f>"Відділ реєстрації Новокаховської міської ради"</f>
        <v>Відділ реєстрації Новокаховської міської ради</v>
      </c>
      <c r="G1848" s="1" t="str">
        <f t="shared" si="335"/>
        <v>1</v>
      </c>
      <c r="H1848" s="1" t="str">
        <f>"Результат"</f>
        <v>Результат</v>
      </c>
      <c r="I1848" s="1" t="str">
        <f>"Позитивний"</f>
        <v>Позитивний</v>
      </c>
      <c r="J1848" s="1" t="str">
        <f t="shared" si="336"/>
        <v>Так</v>
      </c>
    </row>
    <row r="1849" spans="1:10" ht="135" x14ac:dyDescent="0.25">
      <c r="A1849" s="1" t="str">
        <f>"1896-2020/27"</f>
        <v>1896-2020/27</v>
      </c>
      <c r="B1849" s="1" t="str">
        <f t="shared" si="334"/>
        <v>13.04.2020</v>
      </c>
      <c r="C1849" s="1" t="str">
        <f t="shared" si="333"/>
        <v>Закрито</v>
      </c>
      <c r="D18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49" s="1" t="str">
        <f>"Земельні питання"</f>
        <v>Земельні питання</v>
      </c>
      <c r="F18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49" s="1" t="str">
        <f t="shared" si="335"/>
        <v>1</v>
      </c>
      <c r="H1849" s="1" t="str">
        <f>"Результат"</f>
        <v>Результат</v>
      </c>
      <c r="I1849" s="1" t="str">
        <f>"Позитивний"</f>
        <v>Позитивний</v>
      </c>
      <c r="J1849" s="1" t="str">
        <f t="shared" si="336"/>
        <v>Так</v>
      </c>
    </row>
    <row r="1850" spans="1:10" ht="45" x14ac:dyDescent="0.25">
      <c r="A1850" s="1" t="str">
        <f>"1903-2020/27"</f>
        <v>1903-2020/27</v>
      </c>
      <c r="B1850" s="1" t="str">
        <f t="shared" si="334"/>
        <v>13.04.2020</v>
      </c>
      <c r="C1850" s="1" t="str">
        <f t="shared" si="333"/>
        <v>Закрито</v>
      </c>
      <c r="D1850" s="1" t="str">
        <f>"Зняття з реєстрації місця проживання"</f>
        <v>Зняття з реєстрації місця проживання</v>
      </c>
      <c r="E1850" s="1" t="str">
        <f>"Реєстрація місця проживання"</f>
        <v>Реєстрація місця проживання</v>
      </c>
      <c r="F1850" s="1" t="str">
        <f>"Відділ реєстрації Новокаховської міської ради"</f>
        <v>Відділ реєстрації Новокаховської міської ради</v>
      </c>
      <c r="G1850" s="1" t="str">
        <f t="shared" si="335"/>
        <v>1</v>
      </c>
      <c r="H1850" s="1" t="str">
        <f>"Результат"</f>
        <v>Результат</v>
      </c>
      <c r="I1850" s="1" t="str">
        <f>"Позитивний"</f>
        <v>Позитивний</v>
      </c>
      <c r="J1850" s="1" t="str">
        <f t="shared" si="336"/>
        <v>Так</v>
      </c>
    </row>
    <row r="1851" spans="1:10" ht="90" x14ac:dyDescent="0.25">
      <c r="A1851" s="1" t="str">
        <f>"1906-2020/27"</f>
        <v>1906-2020/27</v>
      </c>
      <c r="B1851" s="1" t="str">
        <f t="shared" si="334"/>
        <v>13.04.2020</v>
      </c>
      <c r="C1851" s="1" t="str">
        <f t="shared" si="333"/>
        <v>Закрито</v>
      </c>
      <c r="D185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51" s="1" t="str">
        <f>"Інші послуги"</f>
        <v>Інші послуги</v>
      </c>
      <c r="F185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51" s="1" t="str">
        <f>"5"</f>
        <v>5</v>
      </c>
      <c r="H1851" s="1" t="str">
        <f>"Результат"</f>
        <v>Результат</v>
      </c>
      <c r="I1851" s="1" t="str">
        <f>"Позитивний"</f>
        <v>Позитивний</v>
      </c>
      <c r="J1851" s="1" t="str">
        <f>"Ні"</f>
        <v>Ні</v>
      </c>
    </row>
    <row r="1852" spans="1:10" ht="225" x14ac:dyDescent="0.25">
      <c r="A1852" s="1" t="str">
        <f>"1908-2020/27"</f>
        <v>1908-2020/27</v>
      </c>
      <c r="B1852" s="1" t="str">
        <f t="shared" si="334"/>
        <v>13.04.2020</v>
      </c>
      <c r="C1852" s="1" t="str">
        <f t="shared" si="333"/>
        <v>Закрито</v>
      </c>
      <c r="D1852" s="1" t="s">
        <v>1</v>
      </c>
      <c r="E1852" s="1" t="str">
        <f>"Будівництво"</f>
        <v>Будівництво</v>
      </c>
      <c r="F185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52" s="1" t="str">
        <f>"30"</f>
        <v>30</v>
      </c>
      <c r="H1852" s="1" t="str">
        <f>"Результат"</f>
        <v>Результат</v>
      </c>
      <c r="I1852" s="1" t="str">
        <f>"Позитивний"</f>
        <v>Позитивний</v>
      </c>
      <c r="J1852" s="1" t="str">
        <f>"Ні"</f>
        <v>Ні</v>
      </c>
    </row>
    <row r="1853" spans="1:10" ht="45" x14ac:dyDescent="0.25">
      <c r="A1853" s="1" t="str">
        <f>"1905-2020/27"</f>
        <v>1905-2020/27</v>
      </c>
      <c r="B1853" s="1" t="str">
        <f t="shared" si="334"/>
        <v>13.04.2020</v>
      </c>
      <c r="C1853" s="1" t="str">
        <f t="shared" si="333"/>
        <v>Закрито</v>
      </c>
      <c r="D1853" s="1" t="str">
        <f>"Реєстрація місця проживання особи"</f>
        <v>Реєстрація місця проживання особи</v>
      </c>
      <c r="E1853" s="1" t="str">
        <f>"Реєстрація місця проживання"</f>
        <v>Реєстрація місця проживання</v>
      </c>
      <c r="F1853" s="1" t="str">
        <f>"Відділ реєстрації Новокаховської міської ради"</f>
        <v>Відділ реєстрації Новокаховської міської ради</v>
      </c>
      <c r="G1853" s="1" t="str">
        <f>"1"</f>
        <v>1</v>
      </c>
      <c r="H1853" s="1" t="str">
        <f>"Результат"</f>
        <v>Результат</v>
      </c>
      <c r="I1853" s="1" t="str">
        <f>"Позитивний"</f>
        <v>Позитивний</v>
      </c>
      <c r="J1853" s="1" t="str">
        <f>"Так"</f>
        <v>Так</v>
      </c>
    </row>
    <row r="1854" spans="1:10" ht="45" x14ac:dyDescent="0.25">
      <c r="A1854" s="1" t="str">
        <f>"1901-2020/27"</f>
        <v>1901-2020/27</v>
      </c>
      <c r="B1854" s="1" t="str">
        <f t="shared" si="334"/>
        <v>13.04.2020</v>
      </c>
      <c r="C1854" s="1" t="str">
        <f t="shared" si="333"/>
        <v>Закрито</v>
      </c>
      <c r="D1854" s="1" t="str">
        <f>"Реєстрація місця проживання особи"</f>
        <v>Реєстрація місця проживання особи</v>
      </c>
      <c r="E1854" s="1" t="str">
        <f>"Реєстрація місця проживання"</f>
        <v>Реєстрація місця проживання</v>
      </c>
      <c r="F1854" s="1" t="str">
        <f>"Відділ реєстрації Новокаховської міської ради"</f>
        <v>Відділ реєстрації Новокаховської міської ради</v>
      </c>
      <c r="G1854" s="1" t="str">
        <f>"1"</f>
        <v>1</v>
      </c>
      <c r="H1854" s="1" t="str">
        <f>"Результат"</f>
        <v>Результат</v>
      </c>
      <c r="I1854" s="1" t="str">
        <f>"Позитивний"</f>
        <v>Позитивний</v>
      </c>
      <c r="J1854" s="1" t="str">
        <f>"Так"</f>
        <v>Так</v>
      </c>
    </row>
    <row r="1855" spans="1:10" ht="105" x14ac:dyDescent="0.25">
      <c r="A1855" s="1" t="str">
        <f>"1917-2020/27"</f>
        <v>1917-2020/27</v>
      </c>
      <c r="B1855" s="1" t="str">
        <f t="shared" ref="B1855:B1875" si="337">"14.04.2020"</f>
        <v>14.04.2020</v>
      </c>
      <c r="C1855" s="1" t="str">
        <f t="shared" si="333"/>
        <v>Закрито</v>
      </c>
      <c r="D185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55" s="1" t="str">
        <f>"Земельні питання"</f>
        <v>Земельні питання</v>
      </c>
      <c r="F185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55" s="1" t="str">
        <f>"1"</f>
        <v>1</v>
      </c>
      <c r="H1855" s="1" t="str">
        <f>"Результат"</f>
        <v>Результат</v>
      </c>
      <c r="I1855" s="1" t="str">
        <f>"Позитивний"</f>
        <v>Позитивний</v>
      </c>
      <c r="J1855" s="1" t="str">
        <f>"Ні"</f>
        <v>Ні</v>
      </c>
    </row>
    <row r="1856" spans="1:10" ht="135" x14ac:dyDescent="0.25">
      <c r="A1856" s="1" t="str">
        <f>"1911-2020/27"</f>
        <v>1911-2020/27</v>
      </c>
      <c r="B1856" s="1" t="str">
        <f t="shared" si="337"/>
        <v>14.04.2020</v>
      </c>
      <c r="C1856" s="1" t="str">
        <f t="shared" si="333"/>
        <v>Закрито</v>
      </c>
      <c r="D18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56" s="1" t="str">
        <f>"Земельні питання"</f>
        <v>Земельні питання</v>
      </c>
      <c r="F18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56" s="1" t="str">
        <f>"3"</f>
        <v>3</v>
      </c>
      <c r="H1856" s="1" t="str">
        <f>"Результат"</f>
        <v>Результат</v>
      </c>
      <c r="I1856" s="1" t="str">
        <f>"Позитивний"</f>
        <v>Позитивний</v>
      </c>
      <c r="J1856" s="1" t="str">
        <f>"Ні"</f>
        <v>Ні</v>
      </c>
    </row>
    <row r="1857" spans="1:10" ht="90" x14ac:dyDescent="0.25">
      <c r="A1857" s="1" t="str">
        <f>"1914-2020/27"</f>
        <v>1914-2020/27</v>
      </c>
      <c r="B1857" s="1" t="str">
        <f t="shared" si="337"/>
        <v>14.04.2020</v>
      </c>
      <c r="C1857" s="1" t="str">
        <f t="shared" si="333"/>
        <v>Закрито</v>
      </c>
      <c r="D185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57" s="1" t="str">
        <f>"Інші послуги"</f>
        <v>Інші послуги</v>
      </c>
      <c r="F185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57" s="1" t="str">
        <f>"5"</f>
        <v>5</v>
      </c>
      <c r="H1857" s="1" t="str">
        <f>"Результат"</f>
        <v>Результат</v>
      </c>
      <c r="I1857" s="1" t="str">
        <f>"Позитивний"</f>
        <v>Позитивний</v>
      </c>
      <c r="J1857" s="1" t="str">
        <f>"Ні"</f>
        <v>Ні</v>
      </c>
    </row>
    <row r="1858" spans="1:10" ht="45" x14ac:dyDescent="0.25">
      <c r="A1858" s="1" t="str">
        <f>"1919-2020/27"</f>
        <v>1919-2020/27</v>
      </c>
      <c r="B1858" s="1" t="str">
        <f t="shared" si="337"/>
        <v>14.04.2020</v>
      </c>
      <c r="C1858" s="1" t="str">
        <f t="shared" si="333"/>
        <v>Закрито</v>
      </c>
      <c r="D1858" s="1" t="str">
        <f>"Реєстрація місця проживання особи"</f>
        <v>Реєстрація місця проживання особи</v>
      </c>
      <c r="E1858" s="1" t="str">
        <f>"Реєстрація місця проживання"</f>
        <v>Реєстрація місця проживання</v>
      </c>
      <c r="F1858" s="1" t="str">
        <f>"Відділ реєстрації Новокаховської міської ради"</f>
        <v>Відділ реєстрації Новокаховської міської ради</v>
      </c>
      <c r="G1858" s="1" t="str">
        <f>"1"</f>
        <v>1</v>
      </c>
      <c r="H1858" s="1" t="str">
        <f>"Результат"</f>
        <v>Результат</v>
      </c>
      <c r="I1858" s="1" t="str">
        <f>"Позитивний"</f>
        <v>Позитивний</v>
      </c>
      <c r="J1858" s="1" t="str">
        <f>"Так"</f>
        <v>Так</v>
      </c>
    </row>
    <row r="1859" spans="1:10" ht="105" x14ac:dyDescent="0.25">
      <c r="A1859" s="1" t="str">
        <f>"1918-2020/27"</f>
        <v>1918-2020/27</v>
      </c>
      <c r="B1859" s="1" t="str">
        <f t="shared" si="337"/>
        <v>14.04.2020</v>
      </c>
      <c r="C1859" s="1" t="str">
        <f t="shared" si="333"/>
        <v>Закрито</v>
      </c>
      <c r="D18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59" s="1" t="str">
        <f>"Земельні питання"</f>
        <v>Земельні питання</v>
      </c>
      <c r="F185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59" s="1" t="str">
        <f>"1"</f>
        <v>1</v>
      </c>
      <c r="H1859" s="1" t="str">
        <f>"Результат"</f>
        <v>Результат</v>
      </c>
      <c r="I1859" s="1" t="str">
        <f>"Позитивний"</f>
        <v>Позитивний</v>
      </c>
      <c r="J1859" s="1" t="str">
        <f t="shared" ref="J1859:J1864" si="338">"Ні"</f>
        <v>Ні</v>
      </c>
    </row>
    <row r="1860" spans="1:10" ht="135" x14ac:dyDescent="0.25">
      <c r="A1860" s="1" t="str">
        <f>"1912-2020/27"</f>
        <v>1912-2020/27</v>
      </c>
      <c r="B1860" s="1" t="str">
        <f t="shared" si="337"/>
        <v>14.04.2020</v>
      </c>
      <c r="C1860" s="1" t="str">
        <f t="shared" si="333"/>
        <v>Закрито</v>
      </c>
      <c r="D186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60" s="1" t="str">
        <f>"Земельні питання"</f>
        <v>Земельні питання</v>
      </c>
      <c r="F18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60" s="1" t="str">
        <f>"3"</f>
        <v>3</v>
      </c>
      <c r="H1860" s="1" t="str">
        <f>"Результат"</f>
        <v>Результат</v>
      </c>
      <c r="I1860" s="1" t="str">
        <f>"Позитивний"</f>
        <v>Позитивний</v>
      </c>
      <c r="J1860" s="1" t="str">
        <f t="shared" si="338"/>
        <v>Ні</v>
      </c>
    </row>
    <row r="1861" spans="1:10" ht="90" x14ac:dyDescent="0.25">
      <c r="A1861" s="1" t="str">
        <f>"тест14"</f>
        <v>тест14</v>
      </c>
      <c r="B1861" s="1" t="str">
        <f t="shared" si="337"/>
        <v>14.04.2020</v>
      </c>
      <c r="C1861" s="1" t="str">
        <f t="shared" si="333"/>
        <v>Закрито</v>
      </c>
      <c r="D186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61" s="1" t="str">
        <f>"Інші послуги"</f>
        <v>Інші послуги</v>
      </c>
      <c r="F186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61" s="1" t="str">
        <f>"5"</f>
        <v>5</v>
      </c>
      <c r="H1861" s="1" t="str">
        <f>"Результат"</f>
        <v>Результат</v>
      </c>
      <c r="I1861" s="1" t="str">
        <f>"Позитивний"</f>
        <v>Позитивний</v>
      </c>
      <c r="J1861" s="1" t="str">
        <f t="shared" si="338"/>
        <v>Ні</v>
      </c>
    </row>
    <row r="1862" spans="1:10" ht="90" x14ac:dyDescent="0.25">
      <c r="A1862" s="1" t="str">
        <f>"test-333"</f>
        <v>test-333</v>
      </c>
      <c r="B1862" s="1" t="str">
        <f t="shared" si="337"/>
        <v>14.04.2020</v>
      </c>
      <c r="C1862" s="1" t="str">
        <f t="shared" si="333"/>
        <v>Закрито</v>
      </c>
      <c r="D186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62" s="1" t="str">
        <f>"Інші послуги"</f>
        <v>Інші послуги</v>
      </c>
      <c r="F186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62" s="1" t="str">
        <f>"5"</f>
        <v>5</v>
      </c>
      <c r="H1862" s="1" t="str">
        <f>""</f>
        <v/>
      </c>
      <c r="I1862" s="1" t="str">
        <f>""</f>
        <v/>
      </c>
      <c r="J1862" s="1" t="str">
        <f t="shared" si="338"/>
        <v>Ні</v>
      </c>
    </row>
    <row r="1863" spans="1:10" ht="90" x14ac:dyDescent="0.25">
      <c r="A1863" s="1" t="str">
        <f>"test-111"</f>
        <v>test-111</v>
      </c>
      <c r="B1863" s="1" t="str">
        <f t="shared" si="337"/>
        <v>14.04.2020</v>
      </c>
      <c r="C1863" s="1" t="str">
        <f t="shared" si="333"/>
        <v>Закрито</v>
      </c>
      <c r="D186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63" s="1" t="str">
        <f>"Інші послуги"</f>
        <v>Інші послуги</v>
      </c>
      <c r="F186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63" s="1" t="str">
        <f>"5"</f>
        <v>5</v>
      </c>
      <c r="H1863" s="1" t="str">
        <f>"Результат"</f>
        <v>Результат</v>
      </c>
      <c r="I1863" s="1" t="str">
        <f>"Позитивний"</f>
        <v>Позитивний</v>
      </c>
      <c r="J1863" s="1" t="str">
        <f t="shared" si="338"/>
        <v>Ні</v>
      </c>
    </row>
    <row r="1864" spans="1:10" ht="135" x14ac:dyDescent="0.25">
      <c r="A1864" s="1" t="str">
        <f>"1909-2020/27"</f>
        <v>1909-2020/27</v>
      </c>
      <c r="B1864" s="1" t="str">
        <f t="shared" si="337"/>
        <v>14.04.2020</v>
      </c>
      <c r="C1864" s="1" t="str">
        <f t="shared" si="333"/>
        <v>Закрито</v>
      </c>
      <c r="D18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64" s="1" t="str">
        <f>"Земельні питання"</f>
        <v>Земельні питання</v>
      </c>
      <c r="F18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64" s="1" t="str">
        <f>"3"</f>
        <v>3</v>
      </c>
      <c r="H1864" s="1" t="str">
        <f>"Результат"</f>
        <v>Результат</v>
      </c>
      <c r="I1864" s="1" t="str">
        <f>"Позитивний"</f>
        <v>Позитивний</v>
      </c>
      <c r="J1864" s="1" t="str">
        <f t="shared" si="338"/>
        <v>Ні</v>
      </c>
    </row>
    <row r="1865" spans="1:10" ht="45" x14ac:dyDescent="0.25">
      <c r="A1865" s="1" t="str">
        <f>"1920-2020/27"</f>
        <v>1920-2020/27</v>
      </c>
      <c r="B1865" s="1" t="str">
        <f t="shared" si="337"/>
        <v>14.04.2020</v>
      </c>
      <c r="C1865" s="1" t="str">
        <f t="shared" si="333"/>
        <v>Закрито</v>
      </c>
      <c r="D1865" s="1" t="str">
        <f>"Зняття з реєстрації місця проживання"</f>
        <v>Зняття з реєстрації місця проживання</v>
      </c>
      <c r="E1865" s="1" t="str">
        <f>"Реєстрація місця проживання"</f>
        <v>Реєстрація місця проживання</v>
      </c>
      <c r="F1865" s="1" t="str">
        <f>"Відділ реєстрації Новокаховської міської ради"</f>
        <v>Відділ реєстрації Новокаховської міської ради</v>
      </c>
      <c r="G1865" s="1" t="str">
        <f>"1"</f>
        <v>1</v>
      </c>
      <c r="H1865" s="1" t="str">
        <f>"Результат"</f>
        <v>Результат</v>
      </c>
      <c r="I1865" s="1" t="str">
        <f>"Позитивний"</f>
        <v>Позитивний</v>
      </c>
      <c r="J1865" s="1" t="str">
        <f>"Так"</f>
        <v>Так</v>
      </c>
    </row>
    <row r="1866" spans="1:10" ht="135" x14ac:dyDescent="0.25">
      <c r="A1866" s="1" t="str">
        <f>"1913-2020/27"</f>
        <v>1913-2020/27</v>
      </c>
      <c r="B1866" s="1" t="str">
        <f t="shared" si="337"/>
        <v>14.04.2020</v>
      </c>
      <c r="C1866" s="1" t="str">
        <f t="shared" si="333"/>
        <v>Закрито</v>
      </c>
      <c r="D18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66" s="1" t="str">
        <f>"Земельні питання"</f>
        <v>Земельні питання</v>
      </c>
      <c r="F18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66" s="1" t="str">
        <f>"3"</f>
        <v>3</v>
      </c>
      <c r="H1866" s="1" t="str">
        <f>"Результат"</f>
        <v>Результат</v>
      </c>
      <c r="I1866" s="1" t="str">
        <f>"Позитивний"</f>
        <v>Позитивний</v>
      </c>
      <c r="J1866" s="1" t="str">
        <f>"Ні"</f>
        <v>Ні</v>
      </c>
    </row>
    <row r="1867" spans="1:10" ht="90" x14ac:dyDescent="0.25">
      <c r="A1867" s="1" t="str">
        <f>"1921-2020/27"</f>
        <v>1921-2020/27</v>
      </c>
      <c r="B1867" s="1" t="str">
        <f t="shared" si="337"/>
        <v>14.04.2020</v>
      </c>
      <c r="C1867" s="1" t="str">
        <f t="shared" si="333"/>
        <v>Закрито</v>
      </c>
      <c r="D186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67" s="1" t="str">
        <f>"Інші послуги"</f>
        <v>Інші послуги</v>
      </c>
      <c r="F186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67" s="1" t="str">
        <f>"5"</f>
        <v>5</v>
      </c>
      <c r="H1867" s="1" t="str">
        <f>"Результат"</f>
        <v>Результат</v>
      </c>
      <c r="I1867" s="1" t="str">
        <f>"Позитивний"</f>
        <v>Позитивний</v>
      </c>
      <c r="J1867" s="1" t="str">
        <f>"Ні"</f>
        <v>Ні</v>
      </c>
    </row>
    <row r="1868" spans="1:10" ht="135" x14ac:dyDescent="0.25">
      <c r="A1868" s="1" t="str">
        <f>"1922-2020/27"</f>
        <v>1922-2020/27</v>
      </c>
      <c r="B1868" s="1" t="str">
        <f t="shared" si="337"/>
        <v>14.04.2020</v>
      </c>
      <c r="C1868" s="1" t="str">
        <f t="shared" si="333"/>
        <v>Закрито</v>
      </c>
      <c r="D186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68" s="1" t="str">
        <f>"Земельні питання"</f>
        <v>Земельні питання</v>
      </c>
      <c r="F18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68" s="1" t="str">
        <f>"14"</f>
        <v>14</v>
      </c>
      <c r="H1868" s="1" t="str">
        <f>"Результат"</f>
        <v>Результат</v>
      </c>
      <c r="I1868" s="1" t="str">
        <f>"Позитивний"</f>
        <v>Позитивний</v>
      </c>
      <c r="J1868" s="1" t="str">
        <f>"Ні"</f>
        <v>Ні</v>
      </c>
    </row>
    <row r="1869" spans="1:10" ht="105" x14ac:dyDescent="0.25">
      <c r="A1869" s="1" t="str">
        <f>"1924-2020/27"</f>
        <v>1924-2020/27</v>
      </c>
      <c r="B1869" s="1" t="str">
        <f t="shared" si="337"/>
        <v>14.04.2020</v>
      </c>
      <c r="C1869" s="1" t="str">
        <f t="shared" si="333"/>
        <v>Закрито</v>
      </c>
      <c r="D186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69" s="1" t="str">
        <f>"Земельні питання"</f>
        <v>Земельні питання</v>
      </c>
      <c r="F186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69" s="1" t="str">
        <f>"1"</f>
        <v>1</v>
      </c>
      <c r="H1869" s="1" t="str">
        <f>"Результат"</f>
        <v>Результат</v>
      </c>
      <c r="I1869" s="1" t="str">
        <f>"Позитивний"</f>
        <v>Позитивний</v>
      </c>
      <c r="J1869" s="1" t="str">
        <f>"Так"</f>
        <v>Так</v>
      </c>
    </row>
    <row r="1870" spans="1:10" ht="135" x14ac:dyDescent="0.25">
      <c r="A1870" s="1" t="str">
        <f>"1923-2020/27"</f>
        <v>1923-2020/27</v>
      </c>
      <c r="B1870" s="1" t="str">
        <f t="shared" si="337"/>
        <v>14.04.2020</v>
      </c>
      <c r="C1870" s="1" t="str">
        <f t="shared" si="333"/>
        <v>Закрито</v>
      </c>
      <c r="D187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70" s="1" t="str">
        <f>"Земельні питання"</f>
        <v>Земельні питання</v>
      </c>
      <c r="F18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70" s="1" t="str">
        <f>"14"</f>
        <v>14</v>
      </c>
      <c r="H1870" s="1" t="str">
        <f>"Результат"</f>
        <v>Результат</v>
      </c>
      <c r="I1870" s="1" t="str">
        <f>"Позитивний"</f>
        <v>Позитивний</v>
      </c>
      <c r="J1870" s="1" t="str">
        <f t="shared" ref="J1870:J1875" si="339">"Ні"</f>
        <v>Ні</v>
      </c>
    </row>
    <row r="1871" spans="1:10" ht="90" x14ac:dyDescent="0.25">
      <c r="A1871" s="1" t="str">
        <f>"test-222"</f>
        <v>test-222</v>
      </c>
      <c r="B1871" s="1" t="str">
        <f t="shared" si="337"/>
        <v>14.04.2020</v>
      </c>
      <c r="C1871" s="1" t="str">
        <f t="shared" si="333"/>
        <v>Закрито</v>
      </c>
      <c r="D187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71" s="1" t="str">
        <f>"Інші послуги"</f>
        <v>Інші послуги</v>
      </c>
      <c r="F187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71" s="1" t="str">
        <f>"5"</f>
        <v>5</v>
      </c>
      <c r="H1871" s="1" t="str">
        <f>""</f>
        <v/>
      </c>
      <c r="I1871" s="1" t="str">
        <f>""</f>
        <v/>
      </c>
      <c r="J1871" s="1" t="str">
        <f t="shared" si="339"/>
        <v>Ні</v>
      </c>
    </row>
    <row r="1872" spans="1:10" ht="135" x14ac:dyDescent="0.25">
      <c r="A1872" s="1" t="str">
        <f>"1910-2020/27"</f>
        <v>1910-2020/27</v>
      </c>
      <c r="B1872" s="1" t="str">
        <f t="shared" si="337"/>
        <v>14.04.2020</v>
      </c>
      <c r="C1872" s="1" t="str">
        <f t="shared" si="333"/>
        <v>Закрито</v>
      </c>
      <c r="D187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872" s="1" t="str">
        <f>"Земельні питання"</f>
        <v>Земельні питання</v>
      </c>
      <c r="F18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72" s="1" t="str">
        <f>"3"</f>
        <v>3</v>
      </c>
      <c r="H1872" s="1" t="str">
        <f>"Результат"</f>
        <v>Результат</v>
      </c>
      <c r="I1872" s="1" t="str">
        <f>"Позитивний"</f>
        <v>Позитивний</v>
      </c>
      <c r="J1872" s="1" t="str">
        <f t="shared" si="339"/>
        <v>Ні</v>
      </c>
    </row>
    <row r="1873" spans="1:10" ht="135" x14ac:dyDescent="0.25">
      <c r="A1873" s="1" t="str">
        <f>"1925-2020/27"</f>
        <v>1925-2020/27</v>
      </c>
      <c r="B1873" s="1" t="str">
        <f t="shared" si="337"/>
        <v>14.04.2020</v>
      </c>
      <c r="C1873" s="1" t="str">
        <f t="shared" si="333"/>
        <v>Закрито</v>
      </c>
      <c r="D1873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73" s="1" t="str">
        <f>"Земельні питання"</f>
        <v>Земельні питання</v>
      </c>
      <c r="F18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73" s="1" t="str">
        <f>"14"</f>
        <v>14</v>
      </c>
      <c r="H1873" s="1" t="str">
        <f>"Результат"</f>
        <v>Результат</v>
      </c>
      <c r="I1873" s="1" t="str">
        <f>"Позитивний"</f>
        <v>Позитивний</v>
      </c>
      <c r="J1873" s="1" t="str">
        <f t="shared" si="339"/>
        <v>Ні</v>
      </c>
    </row>
    <row r="1874" spans="1:10" ht="105" x14ac:dyDescent="0.25">
      <c r="A1874" s="1" t="str">
        <f>"1916-2020/27"</f>
        <v>1916-2020/27</v>
      </c>
      <c r="B1874" s="1" t="str">
        <f t="shared" si="337"/>
        <v>14.04.2020</v>
      </c>
      <c r="C1874" s="1" t="str">
        <f t="shared" si="333"/>
        <v>Закрито</v>
      </c>
      <c r="D187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74" s="1" t="str">
        <f>"Земельні питання"</f>
        <v>Земельні питання</v>
      </c>
      <c r="F187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74" s="1" t="str">
        <f t="shared" ref="G1874:G1879" si="340">"1"</f>
        <v>1</v>
      </c>
      <c r="H1874" s="1" t="str">
        <f>"Результат"</f>
        <v>Результат</v>
      </c>
      <c r="I1874" s="1" t="str">
        <f>"Позитивний"</f>
        <v>Позитивний</v>
      </c>
      <c r="J1874" s="1" t="str">
        <f t="shared" si="339"/>
        <v>Ні</v>
      </c>
    </row>
    <row r="1875" spans="1:10" ht="105" x14ac:dyDescent="0.25">
      <c r="A1875" s="1" t="str">
        <f>"1915-2020/27"</f>
        <v>1915-2020/27</v>
      </c>
      <c r="B1875" s="1" t="str">
        <f t="shared" si="337"/>
        <v>14.04.2020</v>
      </c>
      <c r="C1875" s="1" t="str">
        <f t="shared" si="333"/>
        <v>Закрито</v>
      </c>
      <c r="D187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75" s="1" t="str">
        <f>"Земельні питання"</f>
        <v>Земельні питання</v>
      </c>
      <c r="F187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75" s="1" t="str">
        <f t="shared" si="340"/>
        <v>1</v>
      </c>
      <c r="H1875" s="1" t="str">
        <f>"Результат"</f>
        <v>Результат</v>
      </c>
      <c r="I1875" s="1" t="str">
        <f>"Позитивний"</f>
        <v>Позитивний</v>
      </c>
      <c r="J1875" s="1" t="str">
        <f t="shared" si="339"/>
        <v>Ні</v>
      </c>
    </row>
    <row r="1876" spans="1:10" ht="135" x14ac:dyDescent="0.25">
      <c r="A1876" s="1" t="str">
        <f>"1938-2020/27"</f>
        <v>1938-2020/27</v>
      </c>
      <c r="B1876" s="1" t="str">
        <f t="shared" ref="B1876:B1895" si="341">"15.04.2020"</f>
        <v>15.04.2020</v>
      </c>
      <c r="C1876" s="1" t="str">
        <f t="shared" si="333"/>
        <v>Закрито</v>
      </c>
      <c r="D187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76" s="1" t="str">
        <f>"Земельні питання"</f>
        <v>Земельні питання</v>
      </c>
      <c r="F18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76" s="1" t="str">
        <f t="shared" si="340"/>
        <v>1</v>
      </c>
      <c r="H1876" s="1" t="str">
        <f>"Результат"</f>
        <v>Результат</v>
      </c>
      <c r="I1876" s="1" t="str">
        <f>"Позитивний"</f>
        <v>Позитивний</v>
      </c>
      <c r="J1876" s="1" t="str">
        <f>"Так"</f>
        <v>Так</v>
      </c>
    </row>
    <row r="1877" spans="1:10" ht="45" x14ac:dyDescent="0.25">
      <c r="A1877" s="1" t="str">
        <f>"1935-2020/27"</f>
        <v>1935-2020/27</v>
      </c>
      <c r="B1877" s="1" t="str">
        <f t="shared" si="341"/>
        <v>15.04.2020</v>
      </c>
      <c r="C1877" s="1" t="str">
        <f t="shared" si="333"/>
        <v>Закрито</v>
      </c>
      <c r="D1877" s="1" t="str">
        <f>"Реєстрація місця проживання особи"</f>
        <v>Реєстрація місця проживання особи</v>
      </c>
      <c r="E1877" s="1" t="str">
        <f>"Реєстрація місця проживання"</f>
        <v>Реєстрація місця проживання</v>
      </c>
      <c r="F1877" s="1" t="str">
        <f>"Відділ реєстрації Новокаховської міської ради"</f>
        <v>Відділ реєстрації Новокаховської міської ради</v>
      </c>
      <c r="G1877" s="1" t="str">
        <f t="shared" si="340"/>
        <v>1</v>
      </c>
      <c r="H1877" s="1" t="str">
        <f>"Результат"</f>
        <v>Результат</v>
      </c>
      <c r="I1877" s="1" t="str">
        <f>"Позитивний"</f>
        <v>Позитивний</v>
      </c>
      <c r="J1877" s="1" t="str">
        <f>"Так"</f>
        <v>Так</v>
      </c>
    </row>
    <row r="1878" spans="1:10" ht="45" x14ac:dyDescent="0.25">
      <c r="A1878" s="1" t="str">
        <f>"1936-2020/27"</f>
        <v>1936-2020/27</v>
      </c>
      <c r="B1878" s="1" t="str">
        <f t="shared" si="341"/>
        <v>15.04.2020</v>
      </c>
      <c r="C1878" s="1" t="str">
        <f t="shared" si="333"/>
        <v>Закрито</v>
      </c>
      <c r="D1878" s="1" t="str">
        <f>"Реєстрація місця проживання особи"</f>
        <v>Реєстрація місця проживання особи</v>
      </c>
      <c r="E1878" s="1" t="str">
        <f>"Реєстрація місця проживання"</f>
        <v>Реєстрація місця проживання</v>
      </c>
      <c r="F1878" s="1" t="str">
        <f>"Відділ реєстрації Новокаховської міської ради"</f>
        <v>Відділ реєстрації Новокаховської міської ради</v>
      </c>
      <c r="G1878" s="1" t="str">
        <f t="shared" si="340"/>
        <v>1</v>
      </c>
      <c r="H1878" s="1" t="str">
        <f>"Результат"</f>
        <v>Результат</v>
      </c>
      <c r="I1878" s="1" t="str">
        <f>"Позитивний"</f>
        <v>Позитивний</v>
      </c>
      <c r="J1878" s="1" t="str">
        <f>"Так"</f>
        <v>Так</v>
      </c>
    </row>
    <row r="1879" spans="1:10" ht="45" x14ac:dyDescent="0.25">
      <c r="A1879" s="1" t="str">
        <f>"1937-2020/27"</f>
        <v>1937-2020/27</v>
      </c>
      <c r="B1879" s="1" t="str">
        <f t="shared" si="341"/>
        <v>15.04.2020</v>
      </c>
      <c r="C1879" s="1" t="str">
        <f t="shared" si="333"/>
        <v>Закрито</v>
      </c>
      <c r="D1879" s="1" t="str">
        <f>"Реєстрація місця проживання особи"</f>
        <v>Реєстрація місця проживання особи</v>
      </c>
      <c r="E1879" s="1" t="str">
        <f>"Реєстрація місця проживання"</f>
        <v>Реєстрація місця проживання</v>
      </c>
      <c r="F1879" s="1" t="str">
        <f>"Відділ реєстрації Новокаховської міської ради"</f>
        <v>Відділ реєстрації Новокаховської міської ради</v>
      </c>
      <c r="G1879" s="1" t="str">
        <f t="shared" si="340"/>
        <v>1</v>
      </c>
      <c r="H1879" s="1" t="str">
        <f>"Результат"</f>
        <v>Результат</v>
      </c>
      <c r="I1879" s="1" t="str">
        <f>"Позитивний"</f>
        <v>Позитивний</v>
      </c>
      <c r="J1879" s="1" t="str">
        <f>"Так"</f>
        <v>Так</v>
      </c>
    </row>
    <row r="1880" spans="1:10" ht="225" x14ac:dyDescent="0.25">
      <c r="A1880" s="1" t="str">
        <f>"1926-2020/27"</f>
        <v>1926-2020/27</v>
      </c>
      <c r="B1880" s="1" t="str">
        <f t="shared" si="341"/>
        <v>15.04.2020</v>
      </c>
      <c r="C1880" s="1" t="str">
        <f t="shared" si="333"/>
        <v>Закрито</v>
      </c>
      <c r="D1880" s="1" t="s">
        <v>1</v>
      </c>
      <c r="E1880" s="1" t="str">
        <f>"Будівництво"</f>
        <v>Будівництво</v>
      </c>
      <c r="F188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80" s="1" t="str">
        <f>"30"</f>
        <v>30</v>
      </c>
      <c r="H1880" s="1" t="str">
        <f>"Результат"</f>
        <v>Результат</v>
      </c>
      <c r="I1880" s="1" t="str">
        <f>"Позитивний"</f>
        <v>Позитивний</v>
      </c>
      <c r="J1880" s="1" t="str">
        <f>"Ні"</f>
        <v>Ні</v>
      </c>
    </row>
    <row r="1881" spans="1:10" ht="135" x14ac:dyDescent="0.25">
      <c r="A1881" s="1" t="str">
        <f>"1929-2020/27"</f>
        <v>1929-2020/27</v>
      </c>
      <c r="B1881" s="1" t="str">
        <f t="shared" si="341"/>
        <v>15.04.2020</v>
      </c>
      <c r="C1881" s="1" t="str">
        <f t="shared" si="333"/>
        <v>Закрито</v>
      </c>
      <c r="D188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81" s="1" t="str">
        <f>"Земельні питання"</f>
        <v>Земельні питання</v>
      </c>
      <c r="F18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81" s="1" t="str">
        <f>"1"</f>
        <v>1</v>
      </c>
      <c r="H1881" s="1" t="str">
        <f>"Результат"</f>
        <v>Результат</v>
      </c>
      <c r="I1881" s="1" t="str">
        <f>"Позитивний"</f>
        <v>Позитивний</v>
      </c>
      <c r="J1881" s="1" t="str">
        <f>"Так"</f>
        <v>Так</v>
      </c>
    </row>
    <row r="1882" spans="1:10" ht="150" x14ac:dyDescent="0.25">
      <c r="A1882" s="1" t="str">
        <f>"1930-2020/27"</f>
        <v>1930-2020/27</v>
      </c>
      <c r="B1882" s="1" t="str">
        <f t="shared" si="341"/>
        <v>15.04.2020</v>
      </c>
      <c r="C1882" s="1" t="str">
        <f t="shared" si="333"/>
        <v>Закрито</v>
      </c>
      <c r="D1882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1882" s="1" t="str">
        <f>"Будівництво"</f>
        <v>Будівництво</v>
      </c>
      <c r="F188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882" s="1" t="str">
        <f>"10"</f>
        <v>10</v>
      </c>
      <c r="H1882" s="1" t="str">
        <f>"Результат"</f>
        <v>Результат</v>
      </c>
      <c r="I1882" s="1" t="str">
        <f>"Позитивний"</f>
        <v>Позитивний</v>
      </c>
      <c r="J1882" s="1" t="str">
        <f>"Ні"</f>
        <v>Ні</v>
      </c>
    </row>
    <row r="1883" spans="1:10" ht="135" x14ac:dyDescent="0.25">
      <c r="A1883" s="1" t="str">
        <f>"1927-2020/27"</f>
        <v>1927-2020/27</v>
      </c>
      <c r="B1883" s="1" t="str">
        <f t="shared" si="341"/>
        <v>15.04.2020</v>
      </c>
      <c r="C1883" s="1" t="str">
        <f t="shared" si="333"/>
        <v>Закрито</v>
      </c>
      <c r="D188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83" s="1" t="str">
        <f>"Земельні питання"</f>
        <v>Земельні питання</v>
      </c>
      <c r="F18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83" s="1" t="str">
        <f>"14"</f>
        <v>14</v>
      </c>
      <c r="H1883" s="1" t="str">
        <f>"Результат"</f>
        <v>Результат</v>
      </c>
      <c r="I1883" s="1" t="str">
        <f>"Позитивний"</f>
        <v>Позитивний</v>
      </c>
      <c r="J1883" s="1" t="str">
        <f>"Ні"</f>
        <v>Ні</v>
      </c>
    </row>
    <row r="1884" spans="1:10" ht="45" x14ac:dyDescent="0.25">
      <c r="A1884" s="1" t="str">
        <f>"1932-2020/27"</f>
        <v>1932-2020/27</v>
      </c>
      <c r="B1884" s="1" t="str">
        <f t="shared" si="341"/>
        <v>15.04.2020</v>
      </c>
      <c r="C1884" s="1" t="str">
        <f t="shared" si="333"/>
        <v>Закрито</v>
      </c>
      <c r="D1884" s="1" t="str">
        <f>"Реєстрація місця проживання особи"</f>
        <v>Реєстрація місця проживання особи</v>
      </c>
      <c r="E1884" s="1" t="str">
        <f>"Реєстрація місця проживання"</f>
        <v>Реєстрація місця проживання</v>
      </c>
      <c r="F1884" s="1" t="str">
        <f>"Відділ реєстрації Новокаховської міської ради"</f>
        <v>Відділ реєстрації Новокаховської міської ради</v>
      </c>
      <c r="G1884" s="1" t="str">
        <f>"1"</f>
        <v>1</v>
      </c>
      <c r="H1884" s="1" t="str">
        <f>"Результат"</f>
        <v>Результат</v>
      </c>
      <c r="I1884" s="1" t="str">
        <f>"Позитивний"</f>
        <v>Позитивний</v>
      </c>
      <c r="J1884" s="1" t="str">
        <f>"Так"</f>
        <v>Так</v>
      </c>
    </row>
    <row r="1885" spans="1:10" ht="45" x14ac:dyDescent="0.25">
      <c r="A1885" s="1" t="str">
        <f>"1934-2020/27"</f>
        <v>1934-2020/27</v>
      </c>
      <c r="B1885" s="1" t="str">
        <f t="shared" si="341"/>
        <v>15.04.2020</v>
      </c>
      <c r="C1885" s="1" t="str">
        <f t="shared" si="333"/>
        <v>Закрито</v>
      </c>
      <c r="D1885" s="1" t="str">
        <f>"Реєстрація місця проживання особи"</f>
        <v>Реєстрація місця проживання особи</v>
      </c>
      <c r="E1885" s="1" t="str">
        <f>"Реєстрація місця проживання"</f>
        <v>Реєстрація місця проживання</v>
      </c>
      <c r="F1885" s="1" t="str">
        <f>"Відділ реєстрації Новокаховської міської ради"</f>
        <v>Відділ реєстрації Новокаховської міської ради</v>
      </c>
      <c r="G1885" s="1" t="str">
        <f>"1"</f>
        <v>1</v>
      </c>
      <c r="H1885" s="1" t="str">
        <f>"Результат"</f>
        <v>Результат</v>
      </c>
      <c r="I1885" s="1" t="str">
        <f>"Позитивний"</f>
        <v>Позитивний</v>
      </c>
      <c r="J1885" s="1" t="str">
        <f>"Так"</f>
        <v>Так</v>
      </c>
    </row>
    <row r="1886" spans="1:10" ht="45" x14ac:dyDescent="0.25">
      <c r="A1886" s="1" t="str">
        <f>"1933-2020/27"</f>
        <v>1933-2020/27</v>
      </c>
      <c r="B1886" s="1" t="str">
        <f t="shared" si="341"/>
        <v>15.04.2020</v>
      </c>
      <c r="C1886" s="1" t="str">
        <f t="shared" si="333"/>
        <v>Закрито</v>
      </c>
      <c r="D1886" s="1" t="str">
        <f>"Реєстрація місця проживання особи"</f>
        <v>Реєстрація місця проживання особи</v>
      </c>
      <c r="E1886" s="1" t="str">
        <f>"Реєстрація місця проживання"</f>
        <v>Реєстрація місця проживання</v>
      </c>
      <c r="F1886" s="1" t="str">
        <f>"Відділ реєстрації Новокаховської міської ради"</f>
        <v>Відділ реєстрації Новокаховської міської ради</v>
      </c>
      <c r="G1886" s="1" t="str">
        <f>"1"</f>
        <v>1</v>
      </c>
      <c r="H1886" s="1" t="str">
        <f>"Результат"</f>
        <v>Результат</v>
      </c>
      <c r="I1886" s="1" t="str">
        <f>"Позитивний"</f>
        <v>Позитивний</v>
      </c>
      <c r="J1886" s="1" t="str">
        <f>"Так"</f>
        <v>Так</v>
      </c>
    </row>
    <row r="1887" spans="1:10" ht="105" x14ac:dyDescent="0.25">
      <c r="A1887" s="1" t="str">
        <f>"1931-2020/27"</f>
        <v>1931-2020/27</v>
      </c>
      <c r="B1887" s="1" t="str">
        <f t="shared" si="341"/>
        <v>15.04.2020</v>
      </c>
      <c r="C1887" s="1" t="str">
        <f t="shared" si="333"/>
        <v>Закрито</v>
      </c>
      <c r="D18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87" s="1" t="str">
        <f>"Земельні питання"</f>
        <v>Земельні питання</v>
      </c>
      <c r="F188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887" s="1" t="str">
        <f>"1"</f>
        <v>1</v>
      </c>
      <c r="H1887" s="1" t="str">
        <f>"Результат"</f>
        <v>Результат</v>
      </c>
      <c r="I1887" s="1" t="str">
        <f>"Позитивний"</f>
        <v>Позитивний</v>
      </c>
      <c r="J1887" s="1" t="str">
        <f>"Так"</f>
        <v>Так</v>
      </c>
    </row>
    <row r="1888" spans="1:10" ht="135" x14ac:dyDescent="0.25">
      <c r="A1888" s="1" t="str">
        <f>"1939-2020/27"</f>
        <v>1939-2020/27</v>
      </c>
      <c r="B1888" s="1" t="str">
        <f t="shared" si="341"/>
        <v>15.04.2020</v>
      </c>
      <c r="C1888" s="1" t="str">
        <f t="shared" si="333"/>
        <v>Закрито</v>
      </c>
      <c r="D188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888" s="1" t="str">
        <f>"Земельні питання"</f>
        <v>Земельні питання</v>
      </c>
      <c r="F18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88" s="1" t="str">
        <f>"1"</f>
        <v>1</v>
      </c>
      <c r="H1888" s="1" t="str">
        <f>"Результат"</f>
        <v>Результат</v>
      </c>
      <c r="I1888" s="1" t="str">
        <f>"Позитивний"</f>
        <v>Позитивний</v>
      </c>
      <c r="J1888" s="1" t="str">
        <f>"Так"</f>
        <v>Так</v>
      </c>
    </row>
    <row r="1889" spans="1:10" ht="135" x14ac:dyDescent="0.25">
      <c r="A1889" s="1" t="str">
        <f>"тест15-2"</f>
        <v>тест15-2</v>
      </c>
      <c r="B1889" s="1" t="str">
        <f t="shared" si="341"/>
        <v>15.04.2020</v>
      </c>
      <c r="C1889" s="1" t="str">
        <f t="shared" si="333"/>
        <v>Закрито</v>
      </c>
      <c r="D188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89" s="1" t="str">
        <f>"Земельні питання"</f>
        <v>Земельні питання</v>
      </c>
      <c r="F18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89" s="1" t="str">
        <f>"14"</f>
        <v>14</v>
      </c>
      <c r="H1889" s="1" t="str">
        <f>"Результат"</f>
        <v>Результат</v>
      </c>
      <c r="I1889" s="1" t="str">
        <f>"Позитивний"</f>
        <v>Позитивний</v>
      </c>
      <c r="J1889" s="1" t="str">
        <f t="shared" ref="J1889:J1895" si="342">"Ні"</f>
        <v>Ні</v>
      </c>
    </row>
    <row r="1890" spans="1:10" ht="135" x14ac:dyDescent="0.25">
      <c r="A1890" s="1" t="str">
        <f>"test-444"</f>
        <v>test-444</v>
      </c>
      <c r="B1890" s="1" t="str">
        <f t="shared" si="341"/>
        <v>15.04.2020</v>
      </c>
      <c r="C1890" s="1" t="str">
        <f t="shared" si="333"/>
        <v>Закрито</v>
      </c>
      <c r="D1890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90" s="1" t="str">
        <f>"Земельні питання"</f>
        <v>Земельні питання</v>
      </c>
      <c r="F18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90" s="1" t="str">
        <f>"14"</f>
        <v>14</v>
      </c>
      <c r="H1890" s="1" t="str">
        <f>"Результат"</f>
        <v>Результат</v>
      </c>
      <c r="I1890" s="1" t="str">
        <f>"Позитивний"</f>
        <v>Позитивний</v>
      </c>
      <c r="J1890" s="1" t="str">
        <f t="shared" si="342"/>
        <v>Ні</v>
      </c>
    </row>
    <row r="1891" spans="1:10" ht="135" x14ac:dyDescent="0.25">
      <c r="A1891" s="1" t="str">
        <f>"1928-2020/27"</f>
        <v>1928-2020/27</v>
      </c>
      <c r="B1891" s="1" t="str">
        <f t="shared" si="341"/>
        <v>15.04.2020</v>
      </c>
      <c r="C1891" s="1" t="str">
        <f t="shared" si="333"/>
        <v>Закрито</v>
      </c>
      <c r="D189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91" s="1" t="str">
        <f>"Земельні питання"</f>
        <v>Земельні питання</v>
      </c>
      <c r="F18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91" s="1" t="str">
        <f>"14"</f>
        <v>14</v>
      </c>
      <c r="H1891" s="1" t="str">
        <f>"Результат"</f>
        <v>Результат</v>
      </c>
      <c r="I1891" s="1" t="str">
        <f>"Позитивний"</f>
        <v>Позитивний</v>
      </c>
      <c r="J1891" s="1" t="str">
        <f t="shared" si="342"/>
        <v>Ні</v>
      </c>
    </row>
    <row r="1892" spans="1:10" ht="90" x14ac:dyDescent="0.25">
      <c r="A1892" s="1" t="str">
        <f>"тест15-1"</f>
        <v>тест15-1</v>
      </c>
      <c r="B1892" s="1" t="str">
        <f t="shared" si="341"/>
        <v>15.04.2020</v>
      </c>
      <c r="C1892" s="1" t="str">
        <f t="shared" si="333"/>
        <v>Закрито</v>
      </c>
      <c r="D189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92" s="1" t="str">
        <f>"Інші послуги"</f>
        <v>Інші послуги</v>
      </c>
      <c r="F189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92" s="1" t="str">
        <f>"5"</f>
        <v>5</v>
      </c>
      <c r="H1892" s="1" t="str">
        <f>"Результат"</f>
        <v>Результат</v>
      </c>
      <c r="I1892" s="1" t="str">
        <f>"Позитивний"</f>
        <v>Позитивний</v>
      </c>
      <c r="J1892" s="1" t="str">
        <f t="shared" si="342"/>
        <v>Ні</v>
      </c>
    </row>
    <row r="1893" spans="1:10" ht="90" x14ac:dyDescent="0.25">
      <c r="A1893" s="1" t="str">
        <f>"тест15"</f>
        <v>тест15</v>
      </c>
      <c r="B1893" s="1" t="str">
        <f t="shared" si="341"/>
        <v>15.04.2020</v>
      </c>
      <c r="C1893" s="1" t="str">
        <f t="shared" ref="C1893:C1956" si="343">"Закрито"</f>
        <v>Закрито</v>
      </c>
      <c r="D189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93" s="1" t="str">
        <f>"Інші послуги"</f>
        <v>Інші послуги</v>
      </c>
      <c r="F189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93" s="1" t="str">
        <f>"5"</f>
        <v>5</v>
      </c>
      <c r="H1893" s="1" t="str">
        <f>"Результат"</f>
        <v>Результат</v>
      </c>
      <c r="I1893" s="1" t="str">
        <f>"Позитивний"</f>
        <v>Позитивний</v>
      </c>
      <c r="J1893" s="1" t="str">
        <f t="shared" si="342"/>
        <v>Ні</v>
      </c>
    </row>
    <row r="1894" spans="1:10" ht="135" x14ac:dyDescent="0.25">
      <c r="A1894" s="1" t="str">
        <f>"test-15-1356"</f>
        <v>test-15-1356</v>
      </c>
      <c r="B1894" s="1" t="str">
        <f t="shared" si="341"/>
        <v>15.04.2020</v>
      </c>
      <c r="C1894" s="1" t="str">
        <f t="shared" si="343"/>
        <v>Закрито</v>
      </c>
      <c r="D1894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94" s="1" t="str">
        <f>"Земельні питання"</f>
        <v>Земельні питання</v>
      </c>
      <c r="F18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94" s="1" t="str">
        <f>"14"</f>
        <v>14</v>
      </c>
      <c r="H1894" s="1" t="str">
        <f>"Результат"</f>
        <v>Результат</v>
      </c>
      <c r="I1894" s="1" t="str">
        <f>"Позитивний"</f>
        <v>Позитивний</v>
      </c>
      <c r="J1894" s="1" t="str">
        <f t="shared" si="342"/>
        <v>Ні</v>
      </c>
    </row>
    <row r="1895" spans="1:10" ht="135" x14ac:dyDescent="0.25">
      <c r="A1895" s="1" t="str">
        <f>"тест 15-4"</f>
        <v>тест 15-4</v>
      </c>
      <c r="B1895" s="1" t="str">
        <f t="shared" si="341"/>
        <v>15.04.2020</v>
      </c>
      <c r="C1895" s="1" t="str">
        <f t="shared" si="343"/>
        <v>Закрито</v>
      </c>
      <c r="D1895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895" s="1" t="str">
        <f>"Земельні питання"</f>
        <v>Земельні питання</v>
      </c>
      <c r="F18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95" s="1" t="str">
        <f>"14"</f>
        <v>14</v>
      </c>
      <c r="H1895" s="1" t="str">
        <f>"Результат"</f>
        <v>Результат</v>
      </c>
      <c r="I1895" s="1" t="str">
        <f>"Позитивний"</f>
        <v>Позитивний</v>
      </c>
      <c r="J1895" s="1" t="str">
        <f t="shared" si="342"/>
        <v>Ні</v>
      </c>
    </row>
    <row r="1896" spans="1:10" ht="45" x14ac:dyDescent="0.25">
      <c r="A1896" s="1" t="str">
        <f>"1943-2020/27"</f>
        <v>1943-2020/27</v>
      </c>
      <c r="B1896" s="1" t="str">
        <f t="shared" ref="B1896:B1903" si="344">"16.04.2020"</f>
        <v>16.04.2020</v>
      </c>
      <c r="C1896" s="1" t="str">
        <f t="shared" si="343"/>
        <v>Закрито</v>
      </c>
      <c r="D1896" s="1" t="str">
        <f>"Реєстрація місця проживання особи"</f>
        <v>Реєстрація місця проживання особи</v>
      </c>
      <c r="E1896" s="1" t="str">
        <f>"Реєстрація місця проживання"</f>
        <v>Реєстрація місця проживання</v>
      </c>
      <c r="F1896" s="1" t="str">
        <f>"Відділ реєстрації Новокаховської міської ради"</f>
        <v>Відділ реєстрації Новокаховської міської ради</v>
      </c>
      <c r="G1896" s="1" t="str">
        <f>"1"</f>
        <v>1</v>
      </c>
      <c r="H1896" s="1" t="str">
        <f>"Результат"</f>
        <v>Результат</v>
      </c>
      <c r="I1896" s="1" t="str">
        <f>"Позитивний"</f>
        <v>Позитивний</v>
      </c>
      <c r="J1896" s="1" t="str">
        <f>"Так"</f>
        <v>Так</v>
      </c>
    </row>
    <row r="1897" spans="1:10" ht="45" x14ac:dyDescent="0.25">
      <c r="A1897" s="1" t="str">
        <f>"1944-2020/27"</f>
        <v>1944-2020/27</v>
      </c>
      <c r="B1897" s="1" t="str">
        <f t="shared" si="344"/>
        <v>16.04.2020</v>
      </c>
      <c r="C1897" s="1" t="str">
        <f t="shared" si="343"/>
        <v>Закрито</v>
      </c>
      <c r="D1897" s="1" t="str">
        <f>"Реєстрація місця проживання особи"</f>
        <v>Реєстрація місця проживання особи</v>
      </c>
      <c r="E1897" s="1" t="str">
        <f>"Реєстрація місця проживання"</f>
        <v>Реєстрація місця проживання</v>
      </c>
      <c r="F1897" s="1" t="str">
        <f>"Відділ реєстрації Новокаховської міської ради"</f>
        <v>Відділ реєстрації Новокаховської міської ради</v>
      </c>
      <c r="G1897" s="1" t="str">
        <f>"1"</f>
        <v>1</v>
      </c>
      <c r="H1897" s="1" t="str">
        <f>"Результат"</f>
        <v>Результат</v>
      </c>
      <c r="I1897" s="1" t="str">
        <f>"Позитивний"</f>
        <v>Позитивний</v>
      </c>
      <c r="J1897" s="1" t="str">
        <f>"Так"</f>
        <v>Так</v>
      </c>
    </row>
    <row r="1898" spans="1:10" ht="135" x14ac:dyDescent="0.25">
      <c r="A1898" s="1" t="str">
        <f>"1946-2020/27"</f>
        <v>1946-2020/27</v>
      </c>
      <c r="B1898" s="1" t="str">
        <f t="shared" si="344"/>
        <v>16.04.2020</v>
      </c>
      <c r="C1898" s="1" t="str">
        <f t="shared" si="343"/>
        <v>Закрито</v>
      </c>
      <c r="D189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898" s="1" t="str">
        <f>"Земельні питання"</f>
        <v>Земельні питання</v>
      </c>
      <c r="F18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898" s="1" t="str">
        <f>"14"</f>
        <v>14</v>
      </c>
      <c r="H1898" s="1" t="str">
        <f>"Результат"</f>
        <v>Результат</v>
      </c>
      <c r="I1898" s="1" t="str">
        <f>"Позитивний"</f>
        <v>Позитивний</v>
      </c>
      <c r="J1898" s="1" t="str">
        <f>"Ні"</f>
        <v>Ні</v>
      </c>
    </row>
    <row r="1899" spans="1:10" ht="90" x14ac:dyDescent="0.25">
      <c r="A1899" s="1" t="str">
        <f>"1941-2020/27"</f>
        <v>1941-2020/27</v>
      </c>
      <c r="B1899" s="1" t="str">
        <f t="shared" si="344"/>
        <v>16.04.2020</v>
      </c>
      <c r="C1899" s="1" t="str">
        <f t="shared" si="343"/>
        <v>Закрито</v>
      </c>
      <c r="D189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899" s="1" t="str">
        <f>"Інші послуги"</f>
        <v>Інші послуги</v>
      </c>
      <c r="F189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899" s="1" t="str">
        <f>"5"</f>
        <v>5</v>
      </c>
      <c r="H1899" s="1" t="str">
        <f>"Результат"</f>
        <v>Результат</v>
      </c>
      <c r="I1899" s="1" t="str">
        <f>"Позитивний"</f>
        <v>Позитивний</v>
      </c>
      <c r="J1899" s="1" t="str">
        <f>"Ні"</f>
        <v>Ні</v>
      </c>
    </row>
    <row r="1900" spans="1:10" ht="135" x14ac:dyDescent="0.25">
      <c r="A1900" s="1" t="str">
        <f>"1947-2020/27"</f>
        <v>1947-2020/27</v>
      </c>
      <c r="B1900" s="1" t="str">
        <f t="shared" si="344"/>
        <v>16.04.2020</v>
      </c>
      <c r="C1900" s="1" t="str">
        <f t="shared" si="343"/>
        <v>Закрито</v>
      </c>
      <c r="D190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00" s="1" t="str">
        <f>"Земельні питання"</f>
        <v>Земельні питання</v>
      </c>
      <c r="F19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00" s="1" t="str">
        <f>"14"</f>
        <v>14</v>
      </c>
      <c r="H1900" s="1" t="str">
        <f>"Результат"</f>
        <v>Результат</v>
      </c>
      <c r="I1900" s="1" t="str">
        <f>"Позитивний"</f>
        <v>Позитивний</v>
      </c>
      <c r="J1900" s="1" t="str">
        <f>"Ні"</f>
        <v>Ні</v>
      </c>
    </row>
    <row r="1901" spans="1:10" ht="90" x14ac:dyDescent="0.25">
      <c r="A1901" s="1" t="str">
        <f>"1942-2020/27"</f>
        <v>1942-2020/27</v>
      </c>
      <c r="B1901" s="1" t="str">
        <f t="shared" si="344"/>
        <v>16.04.2020</v>
      </c>
      <c r="C1901" s="1" t="str">
        <f t="shared" si="343"/>
        <v>Закрито</v>
      </c>
      <c r="D190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01" s="1" t="str">
        <f>"Інші послуги"</f>
        <v>Інші послуги</v>
      </c>
      <c r="F190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01" s="1" t="str">
        <f>"5"</f>
        <v>5</v>
      </c>
      <c r="H1901" s="1" t="str">
        <f>"Результат"</f>
        <v>Результат</v>
      </c>
      <c r="I1901" s="1" t="str">
        <f>"Позитивний"</f>
        <v>Позитивний</v>
      </c>
      <c r="J1901" s="1" t="str">
        <f>"Ні"</f>
        <v>Ні</v>
      </c>
    </row>
    <row r="1902" spans="1:10" ht="135" x14ac:dyDescent="0.25">
      <c r="A1902" s="1" t="str">
        <f>"1940-2020/27"</f>
        <v>1940-2020/27</v>
      </c>
      <c r="B1902" s="1" t="str">
        <f t="shared" si="344"/>
        <v>16.04.2020</v>
      </c>
      <c r="C1902" s="1" t="str">
        <f t="shared" si="343"/>
        <v>Закрито</v>
      </c>
      <c r="D190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02" s="1" t="str">
        <f>"Земельні питання"</f>
        <v>Земельні питання</v>
      </c>
      <c r="F19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02" s="1" t="str">
        <f>"1"</f>
        <v>1</v>
      </c>
      <c r="H1902" s="1" t="str">
        <f>"Результат"</f>
        <v>Результат</v>
      </c>
      <c r="I1902" s="1" t="str">
        <f>"Позитивний"</f>
        <v>Позитивний</v>
      </c>
      <c r="J1902" s="1" t="str">
        <f>"Так"</f>
        <v>Так</v>
      </c>
    </row>
    <row r="1903" spans="1:10" ht="135" x14ac:dyDescent="0.25">
      <c r="A1903" s="1" t="str">
        <f>"1945-2020/27"</f>
        <v>1945-2020/27</v>
      </c>
      <c r="B1903" s="1" t="str">
        <f t="shared" si="344"/>
        <v>16.04.2020</v>
      </c>
      <c r="C1903" s="1" t="str">
        <f t="shared" si="343"/>
        <v>Закрито</v>
      </c>
      <c r="D190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03" s="1" t="str">
        <f>"Земельні питання"</f>
        <v>Земельні питання</v>
      </c>
      <c r="F19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03" s="1" t="str">
        <f>"14"</f>
        <v>14</v>
      </c>
      <c r="H1903" s="1" t="str">
        <f>"Результат"</f>
        <v>Результат</v>
      </c>
      <c r="I1903" s="1" t="str">
        <f>"Позитивний"</f>
        <v>Позитивний</v>
      </c>
      <c r="J1903" s="1" t="str">
        <f t="shared" ref="J1903:J1910" si="345">"Ні"</f>
        <v>Ні</v>
      </c>
    </row>
    <row r="1904" spans="1:10" ht="135" x14ac:dyDescent="0.25">
      <c r="A1904" s="1" t="str">
        <f>"1959-2020/27"</f>
        <v>1959-2020/27</v>
      </c>
      <c r="B1904" s="1" t="str">
        <f t="shared" ref="B1904:B1920" si="346">"17.04.2020"</f>
        <v>17.04.2020</v>
      </c>
      <c r="C1904" s="1" t="str">
        <f t="shared" si="343"/>
        <v>Закрито</v>
      </c>
      <c r="D190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04" s="1" t="str">
        <f>"Земельні питання"</f>
        <v>Земельні питання</v>
      </c>
      <c r="F19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04" s="1" t="str">
        <f>"14"</f>
        <v>14</v>
      </c>
      <c r="H1904" s="1" t="str">
        <f>"Результат"</f>
        <v>Результат</v>
      </c>
      <c r="I1904" s="1" t="str">
        <f>"Позитивний"</f>
        <v>Позитивний</v>
      </c>
      <c r="J1904" s="1" t="str">
        <f t="shared" si="345"/>
        <v>Ні</v>
      </c>
    </row>
    <row r="1905" spans="1:10" ht="90" x14ac:dyDescent="0.25">
      <c r="A1905" s="1" t="str">
        <f>"1960-2020/27"</f>
        <v>1960-2020/27</v>
      </c>
      <c r="B1905" s="1" t="str">
        <f t="shared" si="346"/>
        <v>17.04.2020</v>
      </c>
      <c r="C1905" s="1" t="str">
        <f t="shared" si="343"/>
        <v>Закрито</v>
      </c>
      <c r="D190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05" s="1" t="str">
        <f>"Інші послуги"</f>
        <v>Інші послуги</v>
      </c>
      <c r="F190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05" s="1" t="str">
        <f>"5"</f>
        <v>5</v>
      </c>
      <c r="H1905" s="1" t="str">
        <f>"Результат"</f>
        <v>Результат</v>
      </c>
      <c r="I1905" s="1" t="str">
        <f>"Позитивний"</f>
        <v>Позитивний</v>
      </c>
      <c r="J1905" s="1" t="str">
        <f t="shared" si="345"/>
        <v>Ні</v>
      </c>
    </row>
    <row r="1906" spans="1:10" ht="135" x14ac:dyDescent="0.25">
      <c r="A1906" s="1" t="str">
        <f>"1958-2020/27"</f>
        <v>1958-2020/27</v>
      </c>
      <c r="B1906" s="1" t="str">
        <f t="shared" si="346"/>
        <v>17.04.2020</v>
      </c>
      <c r="C1906" s="1" t="str">
        <f t="shared" si="343"/>
        <v>Закрито</v>
      </c>
      <c r="D190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06" s="1" t="str">
        <f>"Земельні питання"</f>
        <v>Земельні питання</v>
      </c>
      <c r="F19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06" s="1" t="str">
        <f>"14"</f>
        <v>14</v>
      </c>
      <c r="H1906" s="1" t="str">
        <f>"Результат"</f>
        <v>Результат</v>
      </c>
      <c r="I1906" s="1" t="str">
        <f>"Позитивний"</f>
        <v>Позитивний</v>
      </c>
      <c r="J1906" s="1" t="str">
        <f t="shared" si="345"/>
        <v>Ні</v>
      </c>
    </row>
    <row r="1907" spans="1:10" ht="90" x14ac:dyDescent="0.25">
      <c r="A1907" s="1" t="str">
        <f>"1951-2020/27"</f>
        <v>1951-2020/27</v>
      </c>
      <c r="B1907" s="1" t="str">
        <f t="shared" si="346"/>
        <v>17.04.2020</v>
      </c>
      <c r="C1907" s="1" t="str">
        <f t="shared" si="343"/>
        <v>Закрито</v>
      </c>
      <c r="D190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07" s="1" t="str">
        <f>"Інші послуги"</f>
        <v>Інші послуги</v>
      </c>
      <c r="F190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07" s="1" t="str">
        <f>"5"</f>
        <v>5</v>
      </c>
      <c r="H1907" s="1" t="str">
        <f>"Результат"</f>
        <v>Результат</v>
      </c>
      <c r="I1907" s="1" t="str">
        <f>"Позитивний"</f>
        <v>Позитивний</v>
      </c>
      <c r="J1907" s="1" t="str">
        <f t="shared" si="345"/>
        <v>Ні</v>
      </c>
    </row>
    <row r="1908" spans="1:10" ht="135" x14ac:dyDescent="0.25">
      <c r="A1908" s="1" t="str">
        <f>"1950-2020/27"</f>
        <v>1950-2020/27</v>
      </c>
      <c r="B1908" s="1" t="str">
        <f t="shared" si="346"/>
        <v>17.04.2020</v>
      </c>
      <c r="C1908" s="1" t="str">
        <f t="shared" si="343"/>
        <v>Закрито</v>
      </c>
      <c r="D190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08" s="1" t="str">
        <f>"Земельні питання"</f>
        <v>Земельні питання</v>
      </c>
      <c r="F19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08" s="1" t="str">
        <f>"1"</f>
        <v>1</v>
      </c>
      <c r="H1908" s="1" t="str">
        <f>"Результат"</f>
        <v>Результат</v>
      </c>
      <c r="I1908" s="1" t="str">
        <f>"Позитивний"</f>
        <v>Позитивний</v>
      </c>
      <c r="J1908" s="1" t="str">
        <f t="shared" si="345"/>
        <v>Ні</v>
      </c>
    </row>
    <row r="1909" spans="1:10" ht="135" x14ac:dyDescent="0.25">
      <c r="A1909" s="1" t="str">
        <f>"1955-2020/27"</f>
        <v>1955-2020/27</v>
      </c>
      <c r="B1909" s="1" t="str">
        <f t="shared" si="346"/>
        <v>17.04.2020</v>
      </c>
      <c r="C1909" s="1" t="str">
        <f t="shared" si="343"/>
        <v>Закрито</v>
      </c>
      <c r="D190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09" s="1" t="str">
        <f>"Земельні питання"</f>
        <v>Земельні питання</v>
      </c>
      <c r="F19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09" s="1" t="str">
        <f>"3"</f>
        <v>3</v>
      </c>
      <c r="H1909" s="1" t="str">
        <f>"Результат"</f>
        <v>Результат</v>
      </c>
      <c r="I1909" s="1" t="str">
        <f>"Позитивний"</f>
        <v>Позитивний</v>
      </c>
      <c r="J1909" s="1" t="str">
        <f t="shared" si="345"/>
        <v>Ні</v>
      </c>
    </row>
    <row r="1910" spans="1:10" ht="90" x14ac:dyDescent="0.25">
      <c r="A1910" s="1" t="str">
        <f>"1961-2020/27"</f>
        <v>1961-2020/27</v>
      </c>
      <c r="B1910" s="1" t="str">
        <f t="shared" si="346"/>
        <v>17.04.2020</v>
      </c>
      <c r="C1910" s="1" t="str">
        <f t="shared" si="343"/>
        <v>Закрито</v>
      </c>
      <c r="D191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10" s="1" t="str">
        <f>"Інші послуги"</f>
        <v>Інші послуги</v>
      </c>
      <c r="F191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10" s="1" t="str">
        <f>"5"</f>
        <v>5</v>
      </c>
      <c r="H1910" s="1" t="str">
        <f>"Результат"</f>
        <v>Результат</v>
      </c>
      <c r="I1910" s="1" t="str">
        <f>"Позитивний"</f>
        <v>Позитивний</v>
      </c>
      <c r="J1910" s="1" t="str">
        <f t="shared" si="345"/>
        <v>Ні</v>
      </c>
    </row>
    <row r="1911" spans="1:10" ht="45" x14ac:dyDescent="0.25">
      <c r="A1911" s="1" t="str">
        <f>"1953-2020/27"</f>
        <v>1953-2020/27</v>
      </c>
      <c r="B1911" s="1" t="str">
        <f t="shared" si="346"/>
        <v>17.04.2020</v>
      </c>
      <c r="C1911" s="1" t="str">
        <f t="shared" si="343"/>
        <v>Закрито</v>
      </c>
      <c r="D1911" s="1" t="str">
        <f>"Реєстрація місця проживання особи"</f>
        <v>Реєстрація місця проживання особи</v>
      </c>
      <c r="E1911" s="1" t="str">
        <f>"Реєстрація місця проживання"</f>
        <v>Реєстрація місця проживання</v>
      </c>
      <c r="F1911" s="1" t="str">
        <f>"Відділ реєстрації Новокаховської міської ради"</f>
        <v>Відділ реєстрації Новокаховської міської ради</v>
      </c>
      <c r="G1911" s="1" t="str">
        <f>"1"</f>
        <v>1</v>
      </c>
      <c r="H1911" s="1" t="str">
        <f>"Результат"</f>
        <v>Результат</v>
      </c>
      <c r="I1911" s="1" t="str">
        <f>"Позитивний"</f>
        <v>Позитивний</v>
      </c>
      <c r="J1911" s="1" t="str">
        <f>"Так"</f>
        <v>Так</v>
      </c>
    </row>
    <row r="1912" spans="1:10" ht="135" x14ac:dyDescent="0.25">
      <c r="A1912" s="1" t="str">
        <f>"1952-2020/27"</f>
        <v>1952-2020/27</v>
      </c>
      <c r="B1912" s="1" t="str">
        <f t="shared" si="346"/>
        <v>17.04.2020</v>
      </c>
      <c r="C1912" s="1" t="str">
        <f t="shared" si="343"/>
        <v>Закрито</v>
      </c>
      <c r="D191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12" s="1" t="str">
        <f>"Земельні питання"</f>
        <v>Земельні питання</v>
      </c>
      <c r="F19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12" s="1" t="str">
        <f>"1"</f>
        <v>1</v>
      </c>
      <c r="H1912" s="1" t="str">
        <f>"Результат"</f>
        <v>Результат</v>
      </c>
      <c r="I1912" s="1" t="str">
        <f>"Позитивний"</f>
        <v>Позитивний</v>
      </c>
      <c r="J1912" s="1" t="str">
        <f>"Так"</f>
        <v>Так</v>
      </c>
    </row>
    <row r="1913" spans="1:10" ht="135" x14ac:dyDescent="0.25">
      <c r="A1913" s="1" t="str">
        <f>"1956-2020/27"</f>
        <v>1956-2020/27</v>
      </c>
      <c r="B1913" s="1" t="str">
        <f t="shared" si="346"/>
        <v>17.04.2020</v>
      </c>
      <c r="C1913" s="1" t="str">
        <f t="shared" si="343"/>
        <v>Закрито</v>
      </c>
      <c r="D19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13" s="1" t="str">
        <f>"Земельні питання"</f>
        <v>Земельні питання</v>
      </c>
      <c r="F19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13" s="1" t="str">
        <f>"3"</f>
        <v>3</v>
      </c>
      <c r="H1913" s="1" t="str">
        <f>"Результат"</f>
        <v>Результат</v>
      </c>
      <c r="I1913" s="1" t="str">
        <f>"Позитивний"</f>
        <v>Позитивний</v>
      </c>
      <c r="J1913" s="1" t="str">
        <f>"Ні"</f>
        <v>Ні</v>
      </c>
    </row>
    <row r="1914" spans="1:10" ht="135" x14ac:dyDescent="0.25">
      <c r="A1914" s="1" t="str">
        <f>"1949-2020/27"</f>
        <v>1949-2020/27</v>
      </c>
      <c r="B1914" s="1" t="str">
        <f t="shared" si="346"/>
        <v>17.04.2020</v>
      </c>
      <c r="C1914" s="1" t="str">
        <f t="shared" si="343"/>
        <v>Закрито</v>
      </c>
      <c r="D191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14" s="1" t="str">
        <f>"Земельні питання"</f>
        <v>Земельні питання</v>
      </c>
      <c r="F19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14" s="1" t="str">
        <f>"14"</f>
        <v>14</v>
      </c>
      <c r="H1914" s="1" t="str">
        <f>"Результат"</f>
        <v>Результат</v>
      </c>
      <c r="I1914" s="1" t="str">
        <f>"Позитивний"</f>
        <v>Позитивний</v>
      </c>
      <c r="J1914" s="1" t="str">
        <f>"Ні"</f>
        <v>Ні</v>
      </c>
    </row>
    <row r="1915" spans="1:10" ht="135" x14ac:dyDescent="0.25">
      <c r="A1915" s="1" t="str">
        <f>"1948-2020/27"</f>
        <v>1948-2020/27</v>
      </c>
      <c r="B1915" s="1" t="str">
        <f t="shared" si="346"/>
        <v>17.04.2020</v>
      </c>
      <c r="C1915" s="1" t="str">
        <f t="shared" si="343"/>
        <v>Закрито</v>
      </c>
      <c r="D191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15" s="1" t="str">
        <f>"Земельні питання"</f>
        <v>Земельні питання</v>
      </c>
      <c r="F19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15" s="1" t="str">
        <f>"14"</f>
        <v>14</v>
      </c>
      <c r="H1915" s="1" t="str">
        <f>"Результат"</f>
        <v>Результат</v>
      </c>
      <c r="I1915" s="1" t="str">
        <f>"Позитивний"</f>
        <v>Позитивний</v>
      </c>
      <c r="J1915" s="1" t="str">
        <f>"Ні"</f>
        <v>Ні</v>
      </c>
    </row>
    <row r="1916" spans="1:10" ht="135" x14ac:dyDescent="0.25">
      <c r="A1916" s="1" t="str">
        <f>"1957-2020/27"</f>
        <v>1957-2020/27</v>
      </c>
      <c r="B1916" s="1" t="str">
        <f t="shared" si="346"/>
        <v>17.04.2020</v>
      </c>
      <c r="C1916" s="1" t="str">
        <f t="shared" si="343"/>
        <v>Закрито</v>
      </c>
      <c r="D191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16" s="1" t="str">
        <f>"Земельні питання"</f>
        <v>Земельні питання</v>
      </c>
      <c r="F19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16" s="1" t="str">
        <f>"14"</f>
        <v>14</v>
      </c>
      <c r="H1916" s="1" t="str">
        <f>"Результат"</f>
        <v>Результат</v>
      </c>
      <c r="I1916" s="1" t="str">
        <f>"Позитивний"</f>
        <v>Позитивний</v>
      </c>
      <c r="J1916" s="1" t="str">
        <f>"Ні"</f>
        <v>Ні</v>
      </c>
    </row>
    <row r="1917" spans="1:10" ht="90" x14ac:dyDescent="0.25">
      <c r="A1917" s="1" t="str">
        <f>"1964-2020/27"</f>
        <v>1964-2020/27</v>
      </c>
      <c r="B1917" s="1" t="str">
        <f t="shared" si="346"/>
        <v>17.04.2020</v>
      </c>
      <c r="C1917" s="1" t="str">
        <f t="shared" si="343"/>
        <v>Закрито</v>
      </c>
      <c r="D191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17" s="1" t="str">
        <f>"Інші послуги"</f>
        <v>Інші послуги</v>
      </c>
      <c r="F191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17" s="1" t="str">
        <f>"5"</f>
        <v>5</v>
      </c>
      <c r="H1917" s="1" t="str">
        <f>"Результат"</f>
        <v>Результат</v>
      </c>
      <c r="I1917" s="1" t="str">
        <f>"Позитивний"</f>
        <v>Позитивний</v>
      </c>
      <c r="J1917" s="1" t="str">
        <f>"Ні"</f>
        <v>Ні</v>
      </c>
    </row>
    <row r="1918" spans="1:10" ht="135" x14ac:dyDescent="0.25">
      <c r="A1918" s="1" t="str">
        <f>"1954-2020/27"</f>
        <v>1954-2020/27</v>
      </c>
      <c r="B1918" s="1" t="str">
        <f t="shared" si="346"/>
        <v>17.04.2020</v>
      </c>
      <c r="C1918" s="1" t="str">
        <f t="shared" si="343"/>
        <v>Закрито</v>
      </c>
      <c r="D191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18" s="1" t="str">
        <f>"Земельні питання"</f>
        <v>Земельні питання</v>
      </c>
      <c r="F19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18" s="1" t="str">
        <f>"1"</f>
        <v>1</v>
      </c>
      <c r="H1918" s="1" t="str">
        <f>"Результат"</f>
        <v>Результат</v>
      </c>
      <c r="I1918" s="1" t="str">
        <f>"Позитивний"</f>
        <v>Позитивний</v>
      </c>
      <c r="J1918" s="1" t="str">
        <f>"Так"</f>
        <v>Так</v>
      </c>
    </row>
    <row r="1919" spans="1:10" ht="45" x14ac:dyDescent="0.25">
      <c r="A1919" s="1" t="str">
        <f>"1963-2020/27"</f>
        <v>1963-2020/27</v>
      </c>
      <c r="B1919" s="1" t="str">
        <f t="shared" si="346"/>
        <v>17.04.2020</v>
      </c>
      <c r="C1919" s="1" t="str">
        <f t="shared" si="343"/>
        <v>Закрито</v>
      </c>
      <c r="D1919" s="1" t="str">
        <f>"Зняття з реєстрації місця проживання"</f>
        <v>Зняття з реєстрації місця проживання</v>
      </c>
      <c r="E1919" s="1" t="str">
        <f>"Реєстрація місця проживання"</f>
        <v>Реєстрація місця проживання</v>
      </c>
      <c r="F1919" s="1" t="str">
        <f>"Відділ реєстрації Новокаховської міської ради"</f>
        <v>Відділ реєстрації Новокаховської міської ради</v>
      </c>
      <c r="G1919" s="1" t="str">
        <f>"1"</f>
        <v>1</v>
      </c>
      <c r="H1919" s="1" t="str">
        <f>"Результат"</f>
        <v>Результат</v>
      </c>
      <c r="I1919" s="1" t="str">
        <f>"Позитивний"</f>
        <v>Позитивний</v>
      </c>
      <c r="J1919" s="1" t="str">
        <f>"Так"</f>
        <v>Так</v>
      </c>
    </row>
    <row r="1920" spans="1:10" ht="45" x14ac:dyDescent="0.25">
      <c r="A1920" s="1" t="str">
        <f>"1962-2020/27"</f>
        <v>1962-2020/27</v>
      </c>
      <c r="B1920" s="1" t="str">
        <f t="shared" si="346"/>
        <v>17.04.2020</v>
      </c>
      <c r="C1920" s="1" t="str">
        <f t="shared" si="343"/>
        <v>Закрито</v>
      </c>
      <c r="D1920" s="1" t="str">
        <f>"Видача дозволу на порушення об’єктів благоустрою"</f>
        <v>Видача дозволу на порушення об’єктів благоустрою</v>
      </c>
      <c r="E1920" s="1" t="str">
        <f>"Об’єкти благоустрою"</f>
        <v>Об’єкти благоустрою</v>
      </c>
      <c r="F1920" s="1" t="str">
        <f>"Виконавчий комітет Новокаховської міської ради"</f>
        <v>Виконавчий комітет Новокаховської міської ради</v>
      </c>
      <c r="G1920" s="1" t="str">
        <f>"10"</f>
        <v>10</v>
      </c>
      <c r="H1920" s="1" t="str">
        <f>"Результат"</f>
        <v>Результат</v>
      </c>
      <c r="I1920" s="1" t="str">
        <f>"Позитивний"</f>
        <v>Позитивний</v>
      </c>
      <c r="J1920" s="1" t="str">
        <f t="shared" ref="J1920:J1928" si="347">"Ні"</f>
        <v>Ні</v>
      </c>
    </row>
    <row r="1921" spans="1:10" ht="105" x14ac:dyDescent="0.25">
      <c r="A1921" s="1" t="str">
        <f>"1987-2020/27"</f>
        <v>1987-2020/27</v>
      </c>
      <c r="B1921" s="1" t="str">
        <f t="shared" ref="B1921:B1945" si="348">"21.04.2020"</f>
        <v>21.04.2020</v>
      </c>
      <c r="C1921" s="1" t="str">
        <f t="shared" si="343"/>
        <v>Закрито</v>
      </c>
      <c r="D19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21" s="1" t="str">
        <f t="shared" ref="E1921:E1930" si="349">"Земельні питання"</f>
        <v>Земельні питання</v>
      </c>
      <c r="F192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921" s="1" t="str">
        <f>"1"</f>
        <v>1</v>
      </c>
      <c r="H1921" s="1" t="str">
        <f>"Результат"</f>
        <v>Результат</v>
      </c>
      <c r="I1921" s="1" t="str">
        <f>"Позитивний"</f>
        <v>Позитивний</v>
      </c>
      <c r="J1921" s="1" t="str">
        <f t="shared" si="347"/>
        <v>Ні</v>
      </c>
    </row>
    <row r="1922" spans="1:10" ht="135" x14ac:dyDescent="0.25">
      <c r="A1922" s="1" t="str">
        <f>"1982-2020/27"</f>
        <v>1982-2020/27</v>
      </c>
      <c r="B1922" s="1" t="str">
        <f t="shared" si="348"/>
        <v>21.04.2020</v>
      </c>
      <c r="C1922" s="1" t="str">
        <f t="shared" si="343"/>
        <v>Закрито</v>
      </c>
      <c r="D1922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922" s="1" t="str">
        <f t="shared" si="349"/>
        <v>Земельні питання</v>
      </c>
      <c r="F1922" s="1" t="str">
        <f t="shared" ref="F1922:F1930" si="350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2" s="1" t="str">
        <f>"14"</f>
        <v>14</v>
      </c>
      <c r="H1922" s="1" t="str">
        <f>"Результат"</f>
        <v>Результат</v>
      </c>
      <c r="I1922" s="1" t="str">
        <f>"Позитивний"</f>
        <v>Позитивний</v>
      </c>
      <c r="J1922" s="1" t="str">
        <f t="shared" si="347"/>
        <v>Ні</v>
      </c>
    </row>
    <row r="1923" spans="1:10" ht="135" x14ac:dyDescent="0.25">
      <c r="A1923" s="1" t="str">
        <f>"1983-2020/27"</f>
        <v>1983-2020/27</v>
      </c>
      <c r="B1923" s="1" t="str">
        <f t="shared" si="348"/>
        <v>21.04.2020</v>
      </c>
      <c r="C1923" s="1" t="str">
        <f t="shared" si="343"/>
        <v>Закрито</v>
      </c>
      <c r="D192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23" s="1" t="str">
        <f t="shared" si="349"/>
        <v>Земельні питання</v>
      </c>
      <c r="F1923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3" s="1" t="str">
        <f>"3"</f>
        <v>3</v>
      </c>
      <c r="H1923" s="1" t="str">
        <f>"Результат"</f>
        <v>Результат</v>
      </c>
      <c r="I1923" s="1" t="str">
        <f>"Позитивний"</f>
        <v>Позитивний</v>
      </c>
      <c r="J1923" s="1" t="str">
        <f t="shared" si="347"/>
        <v>Ні</v>
      </c>
    </row>
    <row r="1924" spans="1:10" ht="135" x14ac:dyDescent="0.25">
      <c r="A1924" s="1" t="str">
        <f>"1966-2020/27"</f>
        <v>1966-2020/27</v>
      </c>
      <c r="B1924" s="1" t="str">
        <f t="shared" si="348"/>
        <v>21.04.2020</v>
      </c>
      <c r="C1924" s="1" t="str">
        <f t="shared" si="343"/>
        <v>Закрито</v>
      </c>
      <c r="D192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24" s="1" t="str">
        <f t="shared" si="349"/>
        <v>Земельні питання</v>
      </c>
      <c r="F1924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4" s="1" t="str">
        <f>"14"</f>
        <v>14</v>
      </c>
      <c r="H1924" s="1" t="str">
        <f>"Результат"</f>
        <v>Результат</v>
      </c>
      <c r="I1924" s="1" t="str">
        <f>"Позитивний"</f>
        <v>Позитивний</v>
      </c>
      <c r="J1924" s="1" t="str">
        <f t="shared" si="347"/>
        <v>Ні</v>
      </c>
    </row>
    <row r="1925" spans="1:10" ht="135" x14ac:dyDescent="0.25">
      <c r="A1925" s="1" t="str">
        <f>"1978-2020/27"</f>
        <v>1978-2020/27</v>
      </c>
      <c r="B1925" s="1" t="str">
        <f t="shared" si="348"/>
        <v>21.04.2020</v>
      </c>
      <c r="C1925" s="1" t="str">
        <f t="shared" si="343"/>
        <v>Закрито</v>
      </c>
      <c r="D1925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925" s="1" t="str">
        <f t="shared" si="349"/>
        <v>Земельні питання</v>
      </c>
      <c r="F1925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5" s="1" t="str">
        <f>"14"</f>
        <v>14</v>
      </c>
      <c r="H1925" s="1" t="str">
        <f>"Результат"</f>
        <v>Результат</v>
      </c>
      <c r="I1925" s="1" t="str">
        <f>"Позитивний"</f>
        <v>Позитивний</v>
      </c>
      <c r="J1925" s="1" t="str">
        <f t="shared" si="347"/>
        <v>Ні</v>
      </c>
    </row>
    <row r="1926" spans="1:10" ht="135" x14ac:dyDescent="0.25">
      <c r="A1926" s="1" t="str">
        <f>"1988-2020/27"</f>
        <v>1988-2020/27</v>
      </c>
      <c r="B1926" s="1" t="str">
        <f t="shared" si="348"/>
        <v>21.04.2020</v>
      </c>
      <c r="C1926" s="1" t="str">
        <f t="shared" si="343"/>
        <v>Закрито</v>
      </c>
      <c r="D192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26" s="1" t="str">
        <f t="shared" si="349"/>
        <v>Земельні питання</v>
      </c>
      <c r="F1926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6" s="1" t="str">
        <f>"14"</f>
        <v>14</v>
      </c>
      <c r="H1926" s="1" t="str">
        <f>"Результат"</f>
        <v>Результат</v>
      </c>
      <c r="I1926" s="1" t="str">
        <f>"Позитивний"</f>
        <v>Позитивний</v>
      </c>
      <c r="J1926" s="1" t="str">
        <f t="shared" si="347"/>
        <v>Ні</v>
      </c>
    </row>
    <row r="1927" spans="1:10" ht="135" x14ac:dyDescent="0.25">
      <c r="A1927" s="1" t="str">
        <f>"1979-2020/27"</f>
        <v>1979-2020/27</v>
      </c>
      <c r="B1927" s="1" t="str">
        <f t="shared" si="348"/>
        <v>21.04.2020</v>
      </c>
      <c r="C1927" s="1" t="str">
        <f t="shared" si="343"/>
        <v>Закрито</v>
      </c>
      <c r="D1927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927" s="1" t="str">
        <f t="shared" si="349"/>
        <v>Земельні питання</v>
      </c>
      <c r="F1927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7" s="1" t="str">
        <f>"14"</f>
        <v>14</v>
      </c>
      <c r="H1927" s="1" t="str">
        <f>"Результат"</f>
        <v>Результат</v>
      </c>
      <c r="I1927" s="1" t="str">
        <f>"Позитивний"</f>
        <v>Позитивний</v>
      </c>
      <c r="J1927" s="1" t="str">
        <f t="shared" si="347"/>
        <v>Ні</v>
      </c>
    </row>
    <row r="1928" spans="1:10" ht="135" x14ac:dyDescent="0.25">
      <c r="A1928" s="1" t="str">
        <f>"1973-2020/27"</f>
        <v>1973-2020/27</v>
      </c>
      <c r="B1928" s="1" t="str">
        <f t="shared" si="348"/>
        <v>21.04.2020</v>
      </c>
      <c r="C1928" s="1" t="str">
        <f t="shared" si="343"/>
        <v>Закрито</v>
      </c>
      <c r="D192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28" s="1" t="str">
        <f t="shared" si="349"/>
        <v>Земельні питання</v>
      </c>
      <c r="F1928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8" s="1" t="str">
        <f>"3"</f>
        <v>3</v>
      </c>
      <c r="H1928" s="1" t="str">
        <f>"Результат"</f>
        <v>Результат</v>
      </c>
      <c r="I1928" s="1" t="str">
        <f>"Позитивний"</f>
        <v>Позитивний</v>
      </c>
      <c r="J1928" s="1" t="str">
        <f t="shared" si="347"/>
        <v>Ні</v>
      </c>
    </row>
    <row r="1929" spans="1:10" ht="135" x14ac:dyDescent="0.25">
      <c r="A1929" s="1" t="str">
        <f>"1985-2020/27"</f>
        <v>1985-2020/27</v>
      </c>
      <c r="B1929" s="1" t="str">
        <f t="shared" si="348"/>
        <v>21.04.2020</v>
      </c>
      <c r="C1929" s="1" t="str">
        <f t="shared" si="343"/>
        <v>Закрито</v>
      </c>
      <c r="D192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29" s="1" t="str">
        <f t="shared" si="349"/>
        <v>Земельні питання</v>
      </c>
      <c r="F1929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29" s="1" t="str">
        <f>"1"</f>
        <v>1</v>
      </c>
      <c r="H1929" s="1" t="str">
        <f>"Результат"</f>
        <v>Результат</v>
      </c>
      <c r="I1929" s="1" t="str">
        <f>"Позитивний"</f>
        <v>Позитивний</v>
      </c>
      <c r="J1929" s="1" t="str">
        <f>"Так"</f>
        <v>Так</v>
      </c>
    </row>
    <row r="1930" spans="1:10" ht="135" x14ac:dyDescent="0.25">
      <c r="A1930" s="1" t="str">
        <f>"1968-2020/27"</f>
        <v>1968-2020/27</v>
      </c>
      <c r="B1930" s="1" t="str">
        <f t="shared" si="348"/>
        <v>21.04.2020</v>
      </c>
      <c r="C1930" s="1" t="str">
        <f t="shared" si="343"/>
        <v>Закрито</v>
      </c>
      <c r="D193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30" s="1" t="str">
        <f t="shared" si="349"/>
        <v>Земельні питання</v>
      </c>
      <c r="F1930" s="1" t="str">
        <f t="shared" si="35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30" s="1" t="str">
        <f>"14"</f>
        <v>14</v>
      </c>
      <c r="H1930" s="1" t="str">
        <f>"Результат"</f>
        <v>Результат</v>
      </c>
      <c r="I1930" s="1" t="str">
        <f>"Позитивний"</f>
        <v>Позитивний</v>
      </c>
      <c r="J1930" s="1" t="str">
        <f>"Ні"</f>
        <v>Ні</v>
      </c>
    </row>
    <row r="1931" spans="1:10" ht="45" x14ac:dyDescent="0.25">
      <c r="A1931" s="1" t="str">
        <f>"1974-2020/27"</f>
        <v>1974-2020/27</v>
      </c>
      <c r="B1931" s="1" t="str">
        <f t="shared" si="348"/>
        <v>21.04.2020</v>
      </c>
      <c r="C1931" s="1" t="str">
        <f t="shared" si="343"/>
        <v>Закрито</v>
      </c>
      <c r="D1931" s="1" t="str">
        <f>"Реєстрація місця проживання особи"</f>
        <v>Реєстрація місця проживання особи</v>
      </c>
      <c r="E1931" s="1" t="str">
        <f>"Реєстрація місця проживання"</f>
        <v>Реєстрація місця проживання</v>
      </c>
      <c r="F1931" s="1" t="str">
        <f>"Відділ реєстрації Новокаховської міської ради"</f>
        <v>Відділ реєстрації Новокаховської міської ради</v>
      </c>
      <c r="G1931" s="1" t="str">
        <f>"1"</f>
        <v>1</v>
      </c>
      <c r="H1931" s="1" t="str">
        <f>"Результат"</f>
        <v>Результат</v>
      </c>
      <c r="I1931" s="1" t="str">
        <f>"Позитивний"</f>
        <v>Позитивний</v>
      </c>
      <c r="J1931" s="1" t="str">
        <f>"Так"</f>
        <v>Так</v>
      </c>
    </row>
    <row r="1932" spans="1:10" ht="135" x14ac:dyDescent="0.25">
      <c r="A1932" s="1" t="str">
        <f>"1967-2020/27"</f>
        <v>1967-2020/27</v>
      </c>
      <c r="B1932" s="1" t="str">
        <f t="shared" si="348"/>
        <v>21.04.2020</v>
      </c>
      <c r="C1932" s="1" t="str">
        <f t="shared" si="343"/>
        <v>Закрито</v>
      </c>
      <c r="D193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32" s="1" t="str">
        <f>"Земельні питання"</f>
        <v>Земельні питання</v>
      </c>
      <c r="F19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32" s="1" t="str">
        <f>"14"</f>
        <v>14</v>
      </c>
      <c r="H1932" s="1" t="str">
        <f>"Результат"</f>
        <v>Результат</v>
      </c>
      <c r="I1932" s="1" t="str">
        <f>"Позитивний"</f>
        <v>Позитивний</v>
      </c>
      <c r="J1932" s="1" t="str">
        <f>"Ні"</f>
        <v>Ні</v>
      </c>
    </row>
    <row r="1933" spans="1:10" ht="135" x14ac:dyDescent="0.25">
      <c r="A1933" s="1" t="str">
        <f>"1965-2020/27"</f>
        <v>1965-2020/27</v>
      </c>
      <c r="B1933" s="1" t="str">
        <f t="shared" si="348"/>
        <v>21.04.2020</v>
      </c>
      <c r="C1933" s="1" t="str">
        <f t="shared" si="343"/>
        <v>Закрито</v>
      </c>
      <c r="D193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33" s="1" t="str">
        <f>"Земельні питання"</f>
        <v>Земельні питання</v>
      </c>
      <c r="F19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33" s="1" t="str">
        <f>"14"</f>
        <v>14</v>
      </c>
      <c r="H1933" s="1" t="str">
        <f>"Результат"</f>
        <v>Результат</v>
      </c>
      <c r="I1933" s="1" t="str">
        <f>"Позитивний"</f>
        <v>Позитивний</v>
      </c>
      <c r="J1933" s="1" t="str">
        <f>"Ні"</f>
        <v>Ні</v>
      </c>
    </row>
    <row r="1934" spans="1:10" ht="105" x14ac:dyDescent="0.25">
      <c r="A1934" s="1" t="str">
        <f>"1986-2020/27"</f>
        <v>1986-2020/27</v>
      </c>
      <c r="B1934" s="1" t="str">
        <f t="shared" si="348"/>
        <v>21.04.2020</v>
      </c>
      <c r="C1934" s="1" t="str">
        <f t="shared" si="343"/>
        <v>Закрито</v>
      </c>
      <c r="D193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34" s="1" t="str">
        <f>"Земельні питання"</f>
        <v>Земельні питання</v>
      </c>
      <c r="F193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934" s="1" t="str">
        <f>"1"</f>
        <v>1</v>
      </c>
      <c r="H1934" s="1" t="str">
        <f>"Результат"</f>
        <v>Результат</v>
      </c>
      <c r="I1934" s="1" t="str">
        <f>"Позитивний"</f>
        <v>Позитивний</v>
      </c>
      <c r="J1934" s="1" t="str">
        <f>"Ні"</f>
        <v>Ні</v>
      </c>
    </row>
    <row r="1935" spans="1:10" ht="45" x14ac:dyDescent="0.25">
      <c r="A1935" s="1" t="str">
        <f>"1969-2020/27"</f>
        <v>1969-2020/27</v>
      </c>
      <c r="B1935" s="1" t="str">
        <f t="shared" si="348"/>
        <v>21.04.2020</v>
      </c>
      <c r="C1935" s="1" t="str">
        <f t="shared" si="343"/>
        <v>Закрито</v>
      </c>
      <c r="D1935" s="1" t="str">
        <f>"Зняття з реєстрації місця проживання"</f>
        <v>Зняття з реєстрації місця проживання</v>
      </c>
      <c r="E1935" s="1" t="str">
        <f>"Реєстрація місця проживання"</f>
        <v>Реєстрація місця проживання</v>
      </c>
      <c r="F1935" s="1" t="str">
        <f>"Відділ реєстрації Новокаховської міської ради"</f>
        <v>Відділ реєстрації Новокаховської міської ради</v>
      </c>
      <c r="G1935" s="1" t="str">
        <f>"1"</f>
        <v>1</v>
      </c>
      <c r="H1935" s="1" t="str">
        <f>"Результат"</f>
        <v>Результат</v>
      </c>
      <c r="I1935" s="1" t="str">
        <f>"Позитивний"</f>
        <v>Позитивний</v>
      </c>
      <c r="J1935" s="1" t="str">
        <f>"Так"</f>
        <v>Так</v>
      </c>
    </row>
    <row r="1936" spans="1:10" ht="105" x14ac:dyDescent="0.25">
      <c r="A1936" s="1" t="str">
        <f>"1970-2020/27"</f>
        <v>1970-2020/27</v>
      </c>
      <c r="B1936" s="1" t="str">
        <f t="shared" si="348"/>
        <v>21.04.2020</v>
      </c>
      <c r="C1936" s="1" t="str">
        <f t="shared" si="343"/>
        <v>Закрито</v>
      </c>
      <c r="D193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36" s="1" t="str">
        <f t="shared" ref="E1936:E1941" si="351">"Земельні питання"</f>
        <v>Земельні питання</v>
      </c>
      <c r="F193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936" s="1" t="str">
        <f>"1"</f>
        <v>1</v>
      </c>
      <c r="H1936" s="1" t="str">
        <f>"Результат"</f>
        <v>Результат</v>
      </c>
      <c r="I1936" s="1" t="str">
        <f>"Позитивний"</f>
        <v>Позитивний</v>
      </c>
      <c r="J1936" s="1" t="str">
        <f>"Так"</f>
        <v>Так</v>
      </c>
    </row>
    <row r="1937" spans="1:10" ht="135" x14ac:dyDescent="0.25">
      <c r="A1937" s="1" t="str">
        <f>"1971-2020/27"</f>
        <v>1971-2020/27</v>
      </c>
      <c r="B1937" s="1" t="str">
        <f t="shared" si="348"/>
        <v>21.04.2020</v>
      </c>
      <c r="C1937" s="1" t="str">
        <f t="shared" si="343"/>
        <v>Закрито</v>
      </c>
      <c r="D193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37" s="1" t="str">
        <f t="shared" si="351"/>
        <v>Земельні питання</v>
      </c>
      <c r="F19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37" s="1" t="str">
        <f>"3"</f>
        <v>3</v>
      </c>
      <c r="H1937" s="1" t="str">
        <f>"Результат"</f>
        <v>Результат</v>
      </c>
      <c r="I1937" s="1" t="str">
        <f>"Позитивний"</f>
        <v>Позитивний</v>
      </c>
      <c r="J1937" s="1" t="str">
        <f t="shared" ref="J1937:J1944" si="352">"Ні"</f>
        <v>Ні</v>
      </c>
    </row>
    <row r="1938" spans="1:10" ht="135" x14ac:dyDescent="0.25">
      <c r="A1938" s="1" t="str">
        <f>"1989-2020/27"</f>
        <v>1989-2020/27</v>
      </c>
      <c r="B1938" s="1" t="str">
        <f t="shared" si="348"/>
        <v>21.04.2020</v>
      </c>
      <c r="C1938" s="1" t="str">
        <f t="shared" si="343"/>
        <v>Закрито</v>
      </c>
      <c r="D193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38" s="1" t="str">
        <f t="shared" si="351"/>
        <v>Земельні питання</v>
      </c>
      <c r="F19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38" s="1" t="str">
        <f>"14"</f>
        <v>14</v>
      </c>
      <c r="H1938" s="1" t="str">
        <f>"Результат"</f>
        <v>Результат</v>
      </c>
      <c r="I1938" s="1" t="str">
        <f>"Позитивний"</f>
        <v>Позитивний</v>
      </c>
      <c r="J1938" s="1" t="str">
        <f t="shared" si="352"/>
        <v>Ні</v>
      </c>
    </row>
    <row r="1939" spans="1:10" ht="135" x14ac:dyDescent="0.25">
      <c r="A1939" s="1" t="str">
        <f>"1984-2020/27"</f>
        <v>1984-2020/27</v>
      </c>
      <c r="B1939" s="1" t="str">
        <f t="shared" si="348"/>
        <v>21.04.2020</v>
      </c>
      <c r="C1939" s="1" t="str">
        <f t="shared" si="343"/>
        <v>Закрито</v>
      </c>
      <c r="D193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39" s="1" t="str">
        <f t="shared" si="351"/>
        <v>Земельні питання</v>
      </c>
      <c r="F193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39" s="1" t="str">
        <f>"14"</f>
        <v>14</v>
      </c>
      <c r="H1939" s="1" t="str">
        <f>"Результат"</f>
        <v>Результат</v>
      </c>
      <c r="I1939" s="1" t="str">
        <f>"Мотивована відмова"</f>
        <v>Мотивована відмова</v>
      </c>
      <c r="J1939" s="1" t="str">
        <f t="shared" si="352"/>
        <v>Ні</v>
      </c>
    </row>
    <row r="1940" spans="1:10" ht="135" x14ac:dyDescent="0.25">
      <c r="A1940" s="1" t="str">
        <f>"1980-2020/27"</f>
        <v>1980-2020/27</v>
      </c>
      <c r="B1940" s="1" t="str">
        <f t="shared" si="348"/>
        <v>21.04.2020</v>
      </c>
      <c r="C1940" s="1" t="str">
        <f t="shared" si="343"/>
        <v>Закрито</v>
      </c>
      <c r="D1940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940" s="1" t="str">
        <f t="shared" si="351"/>
        <v>Земельні питання</v>
      </c>
      <c r="F19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40" s="1" t="str">
        <f>"14"</f>
        <v>14</v>
      </c>
      <c r="H1940" s="1" t="str">
        <f>"Результат"</f>
        <v>Результат</v>
      </c>
      <c r="I1940" s="1" t="str">
        <f>"Позитивний"</f>
        <v>Позитивний</v>
      </c>
      <c r="J1940" s="1" t="str">
        <f t="shared" si="352"/>
        <v>Ні</v>
      </c>
    </row>
    <row r="1941" spans="1:10" ht="135" x14ac:dyDescent="0.25">
      <c r="A1941" s="1" t="str">
        <f>"1981-2020/27"</f>
        <v>1981-2020/27</v>
      </c>
      <c r="B1941" s="1" t="str">
        <f t="shared" si="348"/>
        <v>21.04.2020</v>
      </c>
      <c r="C1941" s="1" t="str">
        <f t="shared" si="343"/>
        <v>Закрито</v>
      </c>
      <c r="D194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941" s="1" t="str">
        <f t="shared" si="351"/>
        <v>Земельні питання</v>
      </c>
      <c r="F19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41" s="1" t="str">
        <f>"14"</f>
        <v>14</v>
      </c>
      <c r="H1941" s="1" t="str">
        <f>"Результат"</f>
        <v>Результат</v>
      </c>
      <c r="I1941" s="1" t="str">
        <f>"Позитивний"</f>
        <v>Позитивний</v>
      </c>
      <c r="J1941" s="1" t="str">
        <f t="shared" si="352"/>
        <v>Ні</v>
      </c>
    </row>
    <row r="1942" spans="1:10" ht="90" x14ac:dyDescent="0.25">
      <c r="A1942" s="1" t="str">
        <f>"1975-2020/27"</f>
        <v>1975-2020/27</v>
      </c>
      <c r="B1942" s="1" t="str">
        <f t="shared" si="348"/>
        <v>21.04.2020</v>
      </c>
      <c r="C1942" s="1" t="str">
        <f t="shared" si="343"/>
        <v>Закрито</v>
      </c>
      <c r="D194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42" s="1" t="str">
        <f>"Інші послуги"</f>
        <v>Інші послуги</v>
      </c>
      <c r="F194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42" s="1" t="str">
        <f>"5"</f>
        <v>5</v>
      </c>
      <c r="H1942" s="1" t="str">
        <f>"Результат"</f>
        <v>Результат</v>
      </c>
      <c r="I1942" s="1" t="str">
        <f>"Позитивний"</f>
        <v>Позитивний</v>
      </c>
      <c r="J1942" s="1" t="str">
        <f t="shared" si="352"/>
        <v>Ні</v>
      </c>
    </row>
    <row r="1943" spans="1:10" ht="120" x14ac:dyDescent="0.25">
      <c r="A1943" s="1" t="str">
        <f>"1976-2020/27"</f>
        <v>1976-2020/27</v>
      </c>
      <c r="B1943" s="1" t="str">
        <f t="shared" si="348"/>
        <v>21.04.2020</v>
      </c>
      <c r="C1943" s="1" t="str">
        <f t="shared" si="343"/>
        <v>Закрито</v>
      </c>
      <c r="D1943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943" s="1" t="str">
        <f>"Будівництво"</f>
        <v>Будівництво</v>
      </c>
      <c r="F194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43" s="1" t="str">
        <f>"10"</f>
        <v>10</v>
      </c>
      <c r="H1943" s="1" t="str">
        <f>"Результат"</f>
        <v>Результат</v>
      </c>
      <c r="I1943" s="1" t="str">
        <f>"Позитивний"</f>
        <v>Позитивний</v>
      </c>
      <c r="J1943" s="1" t="str">
        <f t="shared" si="352"/>
        <v>Ні</v>
      </c>
    </row>
    <row r="1944" spans="1:10" ht="105" x14ac:dyDescent="0.25">
      <c r="A1944" s="1" t="str">
        <f>"1977-2020/27"</f>
        <v>1977-2020/27</v>
      </c>
      <c r="B1944" s="1" t="str">
        <f t="shared" si="348"/>
        <v>21.04.2020</v>
      </c>
      <c r="C1944" s="1" t="str">
        <f t="shared" si="343"/>
        <v>Закрито</v>
      </c>
      <c r="D1944" s="1" t="str">
        <f>"Подання повідомлення про початок виконання підготовчих робіт/про зміну даних у повідомленні про початок виконання підготовчих робіт"</f>
        <v>Подання повідомлення про початок виконання підготовчих робіт/про зміну даних у повідомленні про початок виконання підготовчих робіт</v>
      </c>
      <c r="E1944" s="1" t="str">
        <f>"Будівництво"</f>
        <v>Будівництво</v>
      </c>
      <c r="F194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44" s="1" t="str">
        <f>"30"</f>
        <v>30</v>
      </c>
      <c r="H1944" s="1" t="str">
        <f>"Результат"</f>
        <v>Результат</v>
      </c>
      <c r="I1944" s="1" t="str">
        <f>"Позитивний"</f>
        <v>Позитивний</v>
      </c>
      <c r="J1944" s="1" t="str">
        <f t="shared" si="352"/>
        <v>Ні</v>
      </c>
    </row>
    <row r="1945" spans="1:10" ht="45" x14ac:dyDescent="0.25">
      <c r="A1945" s="1" t="str">
        <f>"1972-2020/27"</f>
        <v>1972-2020/27</v>
      </c>
      <c r="B1945" s="1" t="str">
        <f t="shared" si="348"/>
        <v>21.04.2020</v>
      </c>
      <c r="C1945" s="1" t="str">
        <f t="shared" si="343"/>
        <v>Закрито</v>
      </c>
      <c r="D1945" s="1" t="str">
        <f>"Зняття з реєстрації місця проживання"</f>
        <v>Зняття з реєстрації місця проживання</v>
      </c>
      <c r="E1945" s="1" t="str">
        <f>"Реєстрація місця проживання"</f>
        <v>Реєстрація місця проживання</v>
      </c>
      <c r="F1945" s="1" t="str">
        <f>"Відділ реєстрації Новокаховської міської ради"</f>
        <v>Відділ реєстрації Новокаховської міської ради</v>
      </c>
      <c r="G1945" s="1" t="str">
        <f>"1"</f>
        <v>1</v>
      </c>
      <c r="H1945" s="1" t="str">
        <f>"Результат"</f>
        <v>Результат</v>
      </c>
      <c r="I1945" s="1" t="str">
        <f>"Позитивний"</f>
        <v>Позитивний</v>
      </c>
      <c r="J1945" s="1" t="str">
        <f>"Так"</f>
        <v>Так</v>
      </c>
    </row>
    <row r="1946" spans="1:10" ht="105" x14ac:dyDescent="0.25">
      <c r="A1946" s="1" t="str">
        <f>"2002-2020/27"</f>
        <v>2002-2020/27</v>
      </c>
      <c r="B1946" s="1" t="str">
        <f t="shared" ref="B1946:B1961" si="353">"22.04.2020"</f>
        <v>22.04.2020</v>
      </c>
      <c r="C1946" s="1" t="str">
        <f t="shared" si="343"/>
        <v>Закрито</v>
      </c>
      <c r="D194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46" s="1" t="str">
        <f>"Земельні питання"</f>
        <v>Земельні питання</v>
      </c>
      <c r="F194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1946" s="1" t="str">
        <f>"1"</f>
        <v>1</v>
      </c>
      <c r="H1946" s="1" t="str">
        <f>"Результат"</f>
        <v>Результат</v>
      </c>
      <c r="I1946" s="1" t="str">
        <f>"Позитивний"</f>
        <v>Позитивний</v>
      </c>
      <c r="J1946" s="1" t="str">
        <f>"Так"</f>
        <v>Так</v>
      </c>
    </row>
    <row r="1947" spans="1:10" ht="120" x14ac:dyDescent="0.25">
      <c r="A1947" s="1" t="str">
        <f>"1995-2020/27"</f>
        <v>1995-2020/27</v>
      </c>
      <c r="B1947" s="1" t="str">
        <f t="shared" si="353"/>
        <v>22.04.2020</v>
      </c>
      <c r="C1947" s="1" t="str">
        <f t="shared" si="343"/>
        <v>Закрито</v>
      </c>
      <c r="D1947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947" s="1" t="str">
        <f>"Будівництво"</f>
        <v>Будівництво</v>
      </c>
      <c r="F194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47" s="1" t="str">
        <f>"10"</f>
        <v>10</v>
      </c>
      <c r="H1947" s="1" t="str">
        <f>"Результат"</f>
        <v>Результат</v>
      </c>
      <c r="I1947" s="1" t="str">
        <f>"Позитивний"</f>
        <v>Позитивний</v>
      </c>
      <c r="J1947" s="1" t="str">
        <f>"Ні"</f>
        <v>Ні</v>
      </c>
    </row>
    <row r="1948" spans="1:10" ht="135" x14ac:dyDescent="0.25">
      <c r="A1948" s="1" t="str">
        <f>"1993-2020/27"</f>
        <v>1993-2020/27</v>
      </c>
      <c r="B1948" s="1" t="str">
        <f t="shared" si="353"/>
        <v>22.04.2020</v>
      </c>
      <c r="C1948" s="1" t="str">
        <f t="shared" si="343"/>
        <v>Закрито</v>
      </c>
      <c r="D194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48" s="1" t="str">
        <f>"Земельні питання"</f>
        <v>Земельні питання</v>
      </c>
      <c r="F19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48" s="1" t="str">
        <f>"3"</f>
        <v>3</v>
      </c>
      <c r="H1948" s="1" t="str">
        <f>"Результат"</f>
        <v>Результат</v>
      </c>
      <c r="I1948" s="1" t="str">
        <f>"Позитивний"</f>
        <v>Позитивний</v>
      </c>
      <c r="J1948" s="1" t="str">
        <f>"Ні"</f>
        <v>Ні</v>
      </c>
    </row>
    <row r="1949" spans="1:10" ht="90" x14ac:dyDescent="0.25">
      <c r="A1949" s="1" t="str">
        <f>"1998-2020/27"</f>
        <v>1998-2020/27</v>
      </c>
      <c r="B1949" s="1" t="str">
        <f t="shared" si="353"/>
        <v>22.04.2020</v>
      </c>
      <c r="C1949" s="1" t="str">
        <f t="shared" si="343"/>
        <v>Закрито</v>
      </c>
      <c r="D194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49" s="1" t="str">
        <f>"Інші послуги"</f>
        <v>Інші послуги</v>
      </c>
      <c r="F194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49" s="1" t="str">
        <f>"5"</f>
        <v>5</v>
      </c>
      <c r="H1949" s="1" t="str">
        <f>"Результат"</f>
        <v>Результат</v>
      </c>
      <c r="I1949" s="1" t="str">
        <f>"Позитивний"</f>
        <v>Позитивний</v>
      </c>
      <c r="J1949" s="1" t="str">
        <f>"Ні"</f>
        <v>Ні</v>
      </c>
    </row>
    <row r="1950" spans="1:10" ht="135" x14ac:dyDescent="0.25">
      <c r="A1950" s="1" t="str">
        <f>"2001-2020/27"</f>
        <v>2001-2020/27</v>
      </c>
      <c r="B1950" s="1" t="str">
        <f t="shared" si="353"/>
        <v>22.04.2020</v>
      </c>
      <c r="C1950" s="1" t="str">
        <f t="shared" si="343"/>
        <v>Закрито</v>
      </c>
      <c r="D195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50" s="1" t="str">
        <f>"Земельні питання"</f>
        <v>Земельні питання</v>
      </c>
      <c r="F19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50" s="1" t="str">
        <f>"3"</f>
        <v>3</v>
      </c>
      <c r="H1950" s="1" t="str">
        <f>"Результат"</f>
        <v>Результат</v>
      </c>
      <c r="I1950" s="1" t="str">
        <f>"Позитивний"</f>
        <v>Позитивний</v>
      </c>
      <c r="J1950" s="1" t="str">
        <f>"Ні"</f>
        <v>Ні</v>
      </c>
    </row>
    <row r="1951" spans="1:10" ht="135" x14ac:dyDescent="0.25">
      <c r="A1951" s="1" t="str">
        <f>"1991-2020/27"</f>
        <v>1991-2020/27</v>
      </c>
      <c r="B1951" s="1" t="str">
        <f t="shared" si="353"/>
        <v>22.04.2020</v>
      </c>
      <c r="C1951" s="1" t="str">
        <f t="shared" si="343"/>
        <v>Закрито</v>
      </c>
      <c r="D195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51" s="1" t="str">
        <f>"Земельні питання"</f>
        <v>Земельні питання</v>
      </c>
      <c r="F19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51" s="1" t="str">
        <f>"1"</f>
        <v>1</v>
      </c>
      <c r="H1951" s="1" t="str">
        <f>"Результат"</f>
        <v>Результат</v>
      </c>
      <c r="I1951" s="1" t="str">
        <f>"Позитивний"</f>
        <v>Позитивний</v>
      </c>
      <c r="J1951" s="1" t="str">
        <f>"Так"</f>
        <v>Так</v>
      </c>
    </row>
    <row r="1952" spans="1:10" ht="45" x14ac:dyDescent="0.25">
      <c r="A1952" s="1" t="str">
        <f>"2003-2020/27"</f>
        <v>2003-2020/27</v>
      </c>
      <c r="B1952" s="1" t="str">
        <f t="shared" si="353"/>
        <v>22.04.2020</v>
      </c>
      <c r="C1952" s="1" t="str">
        <f t="shared" si="343"/>
        <v>Закрито</v>
      </c>
      <c r="D1952" s="1" t="str">
        <f>"Реєстрація місця проживання особи"</f>
        <v>Реєстрація місця проживання особи</v>
      </c>
      <c r="E1952" s="1" t="str">
        <f>"Реєстрація місця проживання"</f>
        <v>Реєстрація місця проживання</v>
      </c>
      <c r="F1952" s="1" t="str">
        <f>"Відділ реєстрації Новокаховської міської ради"</f>
        <v>Відділ реєстрації Новокаховської міської ради</v>
      </c>
      <c r="G1952" s="1" t="str">
        <f>"1"</f>
        <v>1</v>
      </c>
      <c r="H1952" s="1" t="str">
        <f>"Результат"</f>
        <v>Результат</v>
      </c>
      <c r="I1952" s="1" t="str">
        <f>"Позитивний"</f>
        <v>Позитивний</v>
      </c>
      <c r="J1952" s="1" t="str">
        <f>"Так"</f>
        <v>Так</v>
      </c>
    </row>
    <row r="1953" spans="1:10" ht="225" x14ac:dyDescent="0.25">
      <c r="A1953" s="1" t="str">
        <f>"2004-2020/27"</f>
        <v>2004-2020/27</v>
      </c>
      <c r="B1953" s="1" t="str">
        <f t="shared" si="353"/>
        <v>22.04.2020</v>
      </c>
      <c r="C1953" s="1" t="str">
        <f t="shared" si="343"/>
        <v>Закрито</v>
      </c>
      <c r="D1953" s="1" t="s">
        <v>2</v>
      </c>
      <c r="E1953" s="1" t="str">
        <f>"Будівництво"</f>
        <v>Будівництво</v>
      </c>
      <c r="F195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53" s="1" t="str">
        <f>"30"</f>
        <v>30</v>
      </c>
      <c r="H1953" s="1" t="str">
        <f>"Результат"</f>
        <v>Результат</v>
      </c>
      <c r="I1953" s="1" t="str">
        <f>"Позитивний"</f>
        <v>Позитивний</v>
      </c>
      <c r="J1953" s="1" t="str">
        <f>"Ні"</f>
        <v>Ні</v>
      </c>
    </row>
    <row r="1954" spans="1:10" ht="135" x14ac:dyDescent="0.25">
      <c r="A1954" s="1" t="str">
        <f>"1994-2020/27"</f>
        <v>1994-2020/27</v>
      </c>
      <c r="B1954" s="1" t="str">
        <f t="shared" si="353"/>
        <v>22.04.2020</v>
      </c>
      <c r="C1954" s="1" t="str">
        <f t="shared" si="343"/>
        <v>Закрито</v>
      </c>
      <c r="D195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54" s="1" t="str">
        <f>"Земельні питання"</f>
        <v>Земельні питання</v>
      </c>
      <c r="F19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54" s="1" t="str">
        <f>"3"</f>
        <v>3</v>
      </c>
      <c r="H1954" s="1" t="str">
        <f>"Результат"</f>
        <v>Результат</v>
      </c>
      <c r="I1954" s="1" t="str">
        <f>"Позитивний"</f>
        <v>Позитивний</v>
      </c>
      <c r="J1954" s="1" t="str">
        <f>"Ні"</f>
        <v>Ні</v>
      </c>
    </row>
    <row r="1955" spans="1:10" ht="120" x14ac:dyDescent="0.25">
      <c r="A1955" s="1" t="str">
        <f>"1997-2020/27"</f>
        <v>1997-2020/27</v>
      </c>
      <c r="B1955" s="1" t="str">
        <f t="shared" si="353"/>
        <v>22.04.2020</v>
      </c>
      <c r="C1955" s="1" t="str">
        <f t="shared" si="343"/>
        <v>Закрито</v>
      </c>
      <c r="D195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955" s="1" t="str">
        <f>"Будівництво"</f>
        <v>Будівництво</v>
      </c>
      <c r="F195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55" s="1" t="str">
        <f>"10"</f>
        <v>10</v>
      </c>
      <c r="H1955" s="1" t="str">
        <f>"Результат"</f>
        <v>Результат</v>
      </c>
      <c r="I1955" s="1" t="str">
        <f>"Позитивний"</f>
        <v>Позитивний</v>
      </c>
      <c r="J1955" s="1" t="str">
        <f>"Ні"</f>
        <v>Ні</v>
      </c>
    </row>
    <row r="1956" spans="1:10" ht="225" x14ac:dyDescent="0.25">
      <c r="A1956" s="1" t="str">
        <f>"1996-2020/27"</f>
        <v>1996-2020/27</v>
      </c>
      <c r="B1956" s="1" t="str">
        <f t="shared" si="353"/>
        <v>22.04.2020</v>
      </c>
      <c r="C1956" s="1" t="str">
        <f t="shared" si="343"/>
        <v>Закрито</v>
      </c>
      <c r="D1956" s="1" t="s">
        <v>1</v>
      </c>
      <c r="E1956" s="1" t="str">
        <f>"Будівництво"</f>
        <v>Будівництво</v>
      </c>
      <c r="F195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56" s="1" t="str">
        <f>"30"</f>
        <v>30</v>
      </c>
      <c r="H1956" s="1" t="str">
        <f>"Результат"</f>
        <v>Результат</v>
      </c>
      <c r="I1956" s="1" t="str">
        <f>"Позитивний"</f>
        <v>Позитивний</v>
      </c>
      <c r="J1956" s="1" t="str">
        <f>"Ні"</f>
        <v>Ні</v>
      </c>
    </row>
    <row r="1957" spans="1:10" ht="135" x14ac:dyDescent="0.25">
      <c r="A1957" s="1" t="str">
        <f>"8109-2020/27"</f>
        <v>8109-2020/27</v>
      </c>
      <c r="B1957" s="1" t="str">
        <f t="shared" si="353"/>
        <v>22.04.2020</v>
      </c>
      <c r="C1957" s="1" t="str">
        <f t="shared" ref="C1957:C2020" si="354">"Закрито"</f>
        <v>Закрито</v>
      </c>
      <c r="D19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57" s="1" t="str">
        <f>"Земельні питання"</f>
        <v>Земельні питання</v>
      </c>
      <c r="F19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57" s="1" t="str">
        <f>"1"</f>
        <v>1</v>
      </c>
      <c r="H1957" s="1" t="str">
        <f>"Результат"</f>
        <v>Результат</v>
      </c>
      <c r="I1957" s="1" t="str">
        <f>"Позитивний"</f>
        <v>Позитивний</v>
      </c>
      <c r="J1957" s="1" t="str">
        <f>"Так"</f>
        <v>Так</v>
      </c>
    </row>
    <row r="1958" spans="1:10" ht="135" x14ac:dyDescent="0.25">
      <c r="A1958" s="1" t="str">
        <f>"1992-2020/27"</f>
        <v>1992-2020/27</v>
      </c>
      <c r="B1958" s="1" t="str">
        <f t="shared" si="353"/>
        <v>22.04.2020</v>
      </c>
      <c r="C1958" s="1" t="str">
        <f t="shared" si="354"/>
        <v>Закрито</v>
      </c>
      <c r="D195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58" s="1" t="str">
        <f>"Земельні питання"</f>
        <v>Земельні питання</v>
      </c>
      <c r="F19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58" s="1" t="str">
        <f>"3"</f>
        <v>3</v>
      </c>
      <c r="H1958" s="1" t="str">
        <f>"Результат"</f>
        <v>Результат</v>
      </c>
      <c r="I1958" s="1" t="str">
        <f>"Позитивний"</f>
        <v>Позитивний</v>
      </c>
      <c r="J1958" s="1" t="str">
        <f>"Ні"</f>
        <v>Ні</v>
      </c>
    </row>
    <row r="1959" spans="1:10" ht="135" x14ac:dyDescent="0.25">
      <c r="A1959" s="1" t="str">
        <f>"1990-2020/27"</f>
        <v>1990-2020/27</v>
      </c>
      <c r="B1959" s="1" t="str">
        <f t="shared" si="353"/>
        <v>22.04.2020</v>
      </c>
      <c r="C1959" s="1" t="str">
        <f t="shared" si="354"/>
        <v>Закрито</v>
      </c>
      <c r="D19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59" s="1" t="str">
        <f>"Земельні питання"</f>
        <v>Земельні питання</v>
      </c>
      <c r="F19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59" s="1" t="str">
        <f>"1"</f>
        <v>1</v>
      </c>
      <c r="H1959" s="1" t="str">
        <f>"Результат"</f>
        <v>Результат</v>
      </c>
      <c r="I1959" s="1" t="str">
        <f>"Позитивний"</f>
        <v>Позитивний</v>
      </c>
      <c r="J1959" s="1" t="str">
        <f>"Так"</f>
        <v>Так</v>
      </c>
    </row>
    <row r="1960" spans="1:10" ht="90" x14ac:dyDescent="0.25">
      <c r="A1960" s="1" t="str">
        <f>"1999-2020/27"</f>
        <v>1999-2020/27</v>
      </c>
      <c r="B1960" s="1" t="str">
        <f t="shared" si="353"/>
        <v>22.04.2020</v>
      </c>
      <c r="C1960" s="1" t="str">
        <f t="shared" si="354"/>
        <v>Закрито</v>
      </c>
      <c r="D196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60" s="1" t="str">
        <f>"Інші послуги"</f>
        <v>Інші послуги</v>
      </c>
      <c r="F196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60" s="1" t="str">
        <f>"5"</f>
        <v>5</v>
      </c>
      <c r="H1960" s="1" t="str">
        <f>"Результат"</f>
        <v>Результат</v>
      </c>
      <c r="I1960" s="1" t="str">
        <f>"Мотивована відмова"</f>
        <v>Мотивована відмова</v>
      </c>
      <c r="J1960" s="1" t="str">
        <f>"Ні"</f>
        <v>Ні</v>
      </c>
    </row>
    <row r="1961" spans="1:10" ht="90" x14ac:dyDescent="0.25">
      <c r="A1961" s="1" t="str">
        <f>"2000-2020/27"</f>
        <v>2000-2020/27</v>
      </c>
      <c r="B1961" s="1" t="str">
        <f t="shared" si="353"/>
        <v>22.04.2020</v>
      </c>
      <c r="C1961" s="1" t="str">
        <f t="shared" si="354"/>
        <v>Закрито</v>
      </c>
      <c r="D196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61" s="1" t="str">
        <f>"Інші послуги"</f>
        <v>Інші послуги</v>
      </c>
      <c r="F196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61" s="1" t="str">
        <f>"5"</f>
        <v>5</v>
      </c>
      <c r="H1961" s="1" t="str">
        <f>"Результат"</f>
        <v>Результат</v>
      </c>
      <c r="I1961" s="1" t="str">
        <f>"Позитивний"</f>
        <v>Позитивний</v>
      </c>
      <c r="J1961" s="1" t="str">
        <f>"Ні"</f>
        <v>Ні</v>
      </c>
    </row>
    <row r="1962" spans="1:10" ht="135" x14ac:dyDescent="0.25">
      <c r="A1962" s="1" t="str">
        <f>"2005-2020/27"</f>
        <v>2005-2020/27</v>
      </c>
      <c r="B1962" s="1" t="str">
        <f t="shared" ref="B1962:B1983" si="355">"23.04.2020"</f>
        <v>23.04.2020</v>
      </c>
      <c r="C1962" s="1" t="str">
        <f t="shared" si="354"/>
        <v>Закрито</v>
      </c>
      <c r="D196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62" s="1" t="str">
        <f>"Земельні питання"</f>
        <v>Земельні питання</v>
      </c>
      <c r="F19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62" s="1" t="str">
        <f>"1"</f>
        <v>1</v>
      </c>
      <c r="H1962" s="1" t="str">
        <f>"Результат"</f>
        <v>Результат</v>
      </c>
      <c r="I1962" s="1" t="str">
        <f>"Позитивний"</f>
        <v>Позитивний</v>
      </c>
      <c r="J1962" s="1" t="str">
        <f>"Так"</f>
        <v>Так</v>
      </c>
    </row>
    <row r="1963" spans="1:10" ht="135" x14ac:dyDescent="0.25">
      <c r="A1963" s="1" t="str">
        <f>"2022-2020/27"</f>
        <v>2022-2020/27</v>
      </c>
      <c r="B1963" s="1" t="str">
        <f t="shared" si="355"/>
        <v>23.04.2020</v>
      </c>
      <c r="C1963" s="1" t="str">
        <f t="shared" si="354"/>
        <v>Закрито</v>
      </c>
      <c r="D196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63" s="1" t="str">
        <f>"Земельні питання"</f>
        <v>Земельні питання</v>
      </c>
      <c r="F19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63" s="1" t="str">
        <f>"1"</f>
        <v>1</v>
      </c>
      <c r="H1963" s="1" t="str">
        <f>"Результат"</f>
        <v>Результат</v>
      </c>
      <c r="I1963" s="1" t="str">
        <f>"Позитивний"</f>
        <v>Позитивний</v>
      </c>
      <c r="J1963" s="1" t="str">
        <f>"Так"</f>
        <v>Так</v>
      </c>
    </row>
    <row r="1964" spans="1:10" ht="135" x14ac:dyDescent="0.25">
      <c r="A1964" s="1" t="str">
        <f>"2024-2020/27"</f>
        <v>2024-2020/27</v>
      </c>
      <c r="B1964" s="1" t="str">
        <f t="shared" si="355"/>
        <v>23.04.2020</v>
      </c>
      <c r="C1964" s="1" t="str">
        <f t="shared" si="354"/>
        <v>Закрито</v>
      </c>
      <c r="D196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64" s="1" t="str">
        <f>"Земельні питання"</f>
        <v>Земельні питання</v>
      </c>
      <c r="F19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64" s="1" t="str">
        <f>"1"</f>
        <v>1</v>
      </c>
      <c r="H1964" s="1" t="str">
        <f>"Результат"</f>
        <v>Результат</v>
      </c>
      <c r="I1964" s="1" t="str">
        <f>"Позитивний"</f>
        <v>Позитивний</v>
      </c>
      <c r="J1964" s="1" t="str">
        <f>"Так"</f>
        <v>Так</v>
      </c>
    </row>
    <row r="1965" spans="1:10" ht="45" x14ac:dyDescent="0.25">
      <c r="A1965" s="1" t="str">
        <f>"2019-2020/27"</f>
        <v>2019-2020/27</v>
      </c>
      <c r="B1965" s="1" t="str">
        <f t="shared" si="355"/>
        <v>23.04.2020</v>
      </c>
      <c r="C1965" s="1" t="str">
        <f t="shared" si="354"/>
        <v>Закрито</v>
      </c>
      <c r="D1965" s="1" t="str">
        <f>"Реєстрація місця проживання особи"</f>
        <v>Реєстрація місця проживання особи</v>
      </c>
      <c r="E1965" s="1" t="str">
        <f>"Реєстрація місця проживання"</f>
        <v>Реєстрація місця проживання</v>
      </c>
      <c r="F1965" s="1" t="str">
        <f>"Відділ реєстрації Новокаховської міської ради"</f>
        <v>Відділ реєстрації Новокаховської міської ради</v>
      </c>
      <c r="G1965" s="1" t="str">
        <f>"1"</f>
        <v>1</v>
      </c>
      <c r="H1965" s="1" t="str">
        <f>"Результат"</f>
        <v>Результат</v>
      </c>
      <c r="I1965" s="1" t="str">
        <f>"Позитивний"</f>
        <v>Позитивний</v>
      </c>
      <c r="J1965" s="1" t="str">
        <f>"Так"</f>
        <v>Так</v>
      </c>
    </row>
    <row r="1966" spans="1:10" ht="135" x14ac:dyDescent="0.25">
      <c r="A1966" s="1" t="str">
        <f>"2010-2020/27"</f>
        <v>2010-2020/27</v>
      </c>
      <c r="B1966" s="1" t="str">
        <f t="shared" si="355"/>
        <v>23.04.2020</v>
      </c>
      <c r="C1966" s="1" t="str">
        <f t="shared" si="354"/>
        <v>Закрито</v>
      </c>
      <c r="D196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66" s="1" t="str">
        <f>"Земельні питання"</f>
        <v>Земельні питання</v>
      </c>
      <c r="F19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66" s="1" t="str">
        <f>"1"</f>
        <v>1</v>
      </c>
      <c r="H1966" s="1" t="str">
        <f>"Результат"</f>
        <v>Результат</v>
      </c>
      <c r="I1966" s="1" t="str">
        <f>"Позитивний"</f>
        <v>Позитивний</v>
      </c>
      <c r="J1966" s="1" t="str">
        <f>"Так"</f>
        <v>Так</v>
      </c>
    </row>
    <row r="1967" spans="1:10" ht="150" x14ac:dyDescent="0.25">
      <c r="A1967" s="1" t="str">
        <f>"2018-2020/27"</f>
        <v>2018-2020/27</v>
      </c>
      <c r="B1967" s="1" t="str">
        <f t="shared" si="355"/>
        <v>23.04.2020</v>
      </c>
      <c r="C1967" s="1" t="str">
        <f t="shared" si="354"/>
        <v>Закрито</v>
      </c>
      <c r="D1967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1967" s="1" t="str">
        <f>"Будівництво"</f>
        <v>Будівництво</v>
      </c>
      <c r="F196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67" s="1" t="str">
        <f>"10"</f>
        <v>10</v>
      </c>
      <c r="H1967" s="1" t="str">
        <f>"Результат"</f>
        <v>Результат</v>
      </c>
      <c r="I1967" s="1" t="str">
        <f>"Позитивний"</f>
        <v>Позитивний</v>
      </c>
      <c r="J1967" s="1" t="str">
        <f>"Ні"</f>
        <v>Ні</v>
      </c>
    </row>
    <row r="1968" spans="1:10" ht="45" x14ac:dyDescent="0.25">
      <c r="A1968" s="1" t="str">
        <f>"2012-2020/27"</f>
        <v>2012-2020/27</v>
      </c>
      <c r="B1968" s="1" t="str">
        <f t="shared" si="355"/>
        <v>23.04.2020</v>
      </c>
      <c r="C1968" s="1" t="str">
        <f t="shared" si="354"/>
        <v>Закрито</v>
      </c>
      <c r="D1968" s="1" t="str">
        <f>"Реєстрація місця проживання особи"</f>
        <v>Реєстрація місця проживання особи</v>
      </c>
      <c r="E1968" s="1" t="str">
        <f>"Реєстрація місця проживання"</f>
        <v>Реєстрація місця проживання</v>
      </c>
      <c r="F1968" s="1" t="str">
        <f>"Відділ реєстрації Новокаховської міської ради"</f>
        <v>Відділ реєстрації Новокаховської міської ради</v>
      </c>
      <c r="G1968" s="1" t="str">
        <f>"1"</f>
        <v>1</v>
      </c>
      <c r="H1968" s="1" t="str">
        <f>"Результат"</f>
        <v>Результат</v>
      </c>
      <c r="I1968" s="1" t="str">
        <f>"Позитивний"</f>
        <v>Позитивний</v>
      </c>
      <c r="J1968" s="1" t="str">
        <f>"Так"</f>
        <v>Так</v>
      </c>
    </row>
    <row r="1969" spans="1:10" ht="135" x14ac:dyDescent="0.25">
      <c r="A1969" s="1" t="str">
        <f>"2023-2020/27"</f>
        <v>2023-2020/27</v>
      </c>
      <c r="B1969" s="1" t="str">
        <f t="shared" si="355"/>
        <v>23.04.2020</v>
      </c>
      <c r="C1969" s="1" t="str">
        <f t="shared" si="354"/>
        <v>Закрито</v>
      </c>
      <c r="D196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69" s="1" t="str">
        <f>"Земельні питання"</f>
        <v>Земельні питання</v>
      </c>
      <c r="F19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69" s="1" t="str">
        <f>"1"</f>
        <v>1</v>
      </c>
      <c r="H1969" s="1" t="str">
        <f>"Результат"</f>
        <v>Результат</v>
      </c>
      <c r="I1969" s="1" t="str">
        <f>"Позитивний"</f>
        <v>Позитивний</v>
      </c>
      <c r="J1969" s="1" t="str">
        <f>"Так"</f>
        <v>Так</v>
      </c>
    </row>
    <row r="1970" spans="1:10" ht="135" x14ac:dyDescent="0.25">
      <c r="A1970" s="1" t="str">
        <f>"2006-2020/27"</f>
        <v>2006-2020/27</v>
      </c>
      <c r="B1970" s="1" t="str">
        <f t="shared" si="355"/>
        <v>23.04.2020</v>
      </c>
      <c r="C1970" s="1" t="str">
        <f t="shared" si="354"/>
        <v>Закрито</v>
      </c>
      <c r="D197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70" s="1" t="str">
        <f>"Земельні питання"</f>
        <v>Земельні питання</v>
      </c>
      <c r="F19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70" s="1" t="str">
        <f>"14"</f>
        <v>14</v>
      </c>
      <c r="H1970" s="1" t="str">
        <f>"Результат"</f>
        <v>Результат</v>
      </c>
      <c r="I1970" s="1" t="str">
        <f>"Мотивована відмова"</f>
        <v>Мотивована відмова</v>
      </c>
      <c r="J1970" s="1" t="str">
        <f>"Ні"</f>
        <v>Ні</v>
      </c>
    </row>
    <row r="1971" spans="1:10" ht="135" x14ac:dyDescent="0.25">
      <c r="A1971" s="1" t="str">
        <f>"2026-2020/27"</f>
        <v>2026-2020/27</v>
      </c>
      <c r="B1971" s="1" t="str">
        <f t="shared" si="355"/>
        <v>23.04.2020</v>
      </c>
      <c r="C1971" s="1" t="str">
        <f t="shared" si="354"/>
        <v>Закрито</v>
      </c>
      <c r="D19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71" s="1" t="str">
        <f>"Земельні питання"</f>
        <v>Земельні питання</v>
      </c>
      <c r="F19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71" s="1" t="str">
        <f>"1"</f>
        <v>1</v>
      </c>
      <c r="H1971" s="1" t="str">
        <f>"Результат"</f>
        <v>Результат</v>
      </c>
      <c r="I1971" s="1" t="str">
        <f>"Позитивний"</f>
        <v>Позитивний</v>
      </c>
      <c r="J1971" s="1" t="str">
        <f>"Так"</f>
        <v>Так</v>
      </c>
    </row>
    <row r="1972" spans="1:10" ht="135" x14ac:dyDescent="0.25">
      <c r="A1972" s="1" t="str">
        <f>"2025-2020/27"</f>
        <v>2025-2020/27</v>
      </c>
      <c r="B1972" s="1" t="str">
        <f t="shared" si="355"/>
        <v>23.04.2020</v>
      </c>
      <c r="C1972" s="1" t="str">
        <f t="shared" si="354"/>
        <v>Закрито</v>
      </c>
      <c r="D197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72" s="1" t="str">
        <f>"Земельні питання"</f>
        <v>Земельні питання</v>
      </c>
      <c r="F19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72" s="1" t="str">
        <f>"1"</f>
        <v>1</v>
      </c>
      <c r="H1972" s="1" t="str">
        <f>"Результат"</f>
        <v>Результат</v>
      </c>
      <c r="I1972" s="1" t="str">
        <f>"Позитивний"</f>
        <v>Позитивний</v>
      </c>
      <c r="J1972" s="1" t="str">
        <f>"Так"</f>
        <v>Так</v>
      </c>
    </row>
    <row r="1973" spans="1:10" ht="135" x14ac:dyDescent="0.25">
      <c r="A1973" s="1" t="str">
        <f>"2008-2020/27"</f>
        <v>2008-2020/27</v>
      </c>
      <c r="B1973" s="1" t="str">
        <f t="shared" si="355"/>
        <v>23.04.2020</v>
      </c>
      <c r="C1973" s="1" t="str">
        <f t="shared" si="354"/>
        <v>Закрито</v>
      </c>
      <c r="D197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73" s="1" t="str">
        <f>"Земельні питання"</f>
        <v>Земельні питання</v>
      </c>
      <c r="F19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73" s="1" t="str">
        <f>"1"</f>
        <v>1</v>
      </c>
      <c r="H1973" s="1" t="str">
        <f>"Результат"</f>
        <v>Результат</v>
      </c>
      <c r="I1973" s="1" t="str">
        <f>"Позитивний"</f>
        <v>Позитивний</v>
      </c>
      <c r="J1973" s="1" t="str">
        <f>"Так"</f>
        <v>Так</v>
      </c>
    </row>
    <row r="1974" spans="1:10" ht="45" x14ac:dyDescent="0.25">
      <c r="A1974" s="1" t="str">
        <f>"2014-2020/27"</f>
        <v>2014-2020/27</v>
      </c>
      <c r="B1974" s="1" t="str">
        <f t="shared" si="355"/>
        <v>23.04.2020</v>
      </c>
      <c r="C1974" s="1" t="str">
        <f t="shared" si="354"/>
        <v>Закрито</v>
      </c>
      <c r="D1974" s="1" t="str">
        <f>"Реєстрація місця проживання особи"</f>
        <v>Реєстрація місця проживання особи</v>
      </c>
      <c r="E1974" s="1" t="str">
        <f>"Реєстрація місця проживання"</f>
        <v>Реєстрація місця проживання</v>
      </c>
      <c r="F1974" s="1" t="str">
        <f>"Відділ реєстрації Новокаховської міської ради"</f>
        <v>Відділ реєстрації Новокаховської міської ради</v>
      </c>
      <c r="G1974" s="1" t="str">
        <f>"1"</f>
        <v>1</v>
      </c>
      <c r="H1974" s="1" t="str">
        <f>"Результат"</f>
        <v>Результат</v>
      </c>
      <c r="I1974" s="1" t="str">
        <f>"Позитивний"</f>
        <v>Позитивний</v>
      </c>
      <c r="J1974" s="1" t="str">
        <f>"Так"</f>
        <v>Так</v>
      </c>
    </row>
    <row r="1975" spans="1:10" ht="45" x14ac:dyDescent="0.25">
      <c r="A1975" s="1" t="str">
        <f>"2021-2020/27"</f>
        <v>2021-2020/27</v>
      </c>
      <c r="B1975" s="1" t="str">
        <f t="shared" si="355"/>
        <v>23.04.2020</v>
      </c>
      <c r="C1975" s="1" t="str">
        <f t="shared" si="354"/>
        <v>Закрито</v>
      </c>
      <c r="D1975" s="1" t="str">
        <f>"Реєстрація місця проживання особи"</f>
        <v>Реєстрація місця проживання особи</v>
      </c>
      <c r="E1975" s="1" t="str">
        <f>"Реєстрація місця проживання"</f>
        <v>Реєстрація місця проживання</v>
      </c>
      <c r="F1975" s="1" t="str">
        <f>"Відділ реєстрації Новокаховської міської ради"</f>
        <v>Відділ реєстрації Новокаховської міської ради</v>
      </c>
      <c r="G1975" s="1" t="str">
        <f>"1"</f>
        <v>1</v>
      </c>
      <c r="H1975" s="1" t="str">
        <f>"Результат"</f>
        <v>Результат</v>
      </c>
      <c r="I1975" s="1" t="str">
        <f>"Позитивний"</f>
        <v>Позитивний</v>
      </c>
      <c r="J1975" s="1" t="str">
        <f>"Так"</f>
        <v>Так</v>
      </c>
    </row>
    <row r="1976" spans="1:10" ht="90" x14ac:dyDescent="0.25">
      <c r="A1976" s="1" t="str">
        <f>"2017-2020/27"</f>
        <v>2017-2020/27</v>
      </c>
      <c r="B1976" s="1" t="str">
        <f t="shared" si="355"/>
        <v>23.04.2020</v>
      </c>
      <c r="C1976" s="1" t="str">
        <f t="shared" si="354"/>
        <v>Закрито</v>
      </c>
      <c r="D197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76" s="1" t="str">
        <f>"Інші послуги"</f>
        <v>Інші послуги</v>
      </c>
      <c r="F197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76" s="1" t="str">
        <f>"5"</f>
        <v>5</v>
      </c>
      <c r="H1976" s="1" t="str">
        <f>"Результат"</f>
        <v>Результат</v>
      </c>
      <c r="I1976" s="1" t="str">
        <f>"Позитивний"</f>
        <v>Позитивний</v>
      </c>
      <c r="J1976" s="1" t="str">
        <f>"Ні"</f>
        <v>Ні</v>
      </c>
    </row>
    <row r="1977" spans="1:10" ht="45" x14ac:dyDescent="0.25">
      <c r="A1977" s="1" t="str">
        <f>"2015-2020/27"</f>
        <v>2015-2020/27</v>
      </c>
      <c r="B1977" s="1" t="str">
        <f t="shared" si="355"/>
        <v>23.04.2020</v>
      </c>
      <c r="C1977" s="1" t="str">
        <f t="shared" si="354"/>
        <v>Закрито</v>
      </c>
      <c r="D1977" s="1" t="str">
        <f>"Реєстрація місця проживання особи"</f>
        <v>Реєстрація місця проживання особи</v>
      </c>
      <c r="E1977" s="1" t="str">
        <f>"Реєстрація місця проживання"</f>
        <v>Реєстрація місця проживання</v>
      </c>
      <c r="F1977" s="1" t="str">
        <f>"Відділ реєстрації Новокаховської міської ради"</f>
        <v>Відділ реєстрації Новокаховської міської ради</v>
      </c>
      <c r="G1977" s="1" t="str">
        <f>"1"</f>
        <v>1</v>
      </c>
      <c r="H1977" s="1" t="str">
        <f>"Результат"</f>
        <v>Результат</v>
      </c>
      <c r="I1977" s="1" t="str">
        <f>"Позитивний"</f>
        <v>Позитивний</v>
      </c>
      <c r="J1977" s="1" t="str">
        <f>"Так"</f>
        <v>Так</v>
      </c>
    </row>
    <row r="1978" spans="1:10" ht="135" x14ac:dyDescent="0.25">
      <c r="A1978" s="1" t="str">
        <f>"2011-2020/27"</f>
        <v>2011-2020/27</v>
      </c>
      <c r="B1978" s="1" t="str">
        <f t="shared" si="355"/>
        <v>23.04.2020</v>
      </c>
      <c r="C1978" s="1" t="str">
        <f t="shared" si="354"/>
        <v>Закрито</v>
      </c>
      <c r="D197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78" s="1" t="str">
        <f>"Земельні питання"</f>
        <v>Земельні питання</v>
      </c>
      <c r="F19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78" s="1" t="str">
        <f>"1"</f>
        <v>1</v>
      </c>
      <c r="H1978" s="1" t="str">
        <f>"Результат"</f>
        <v>Результат</v>
      </c>
      <c r="I1978" s="1" t="str">
        <f>"Позитивний"</f>
        <v>Позитивний</v>
      </c>
      <c r="J1978" s="1" t="str">
        <f>"Так"</f>
        <v>Так</v>
      </c>
    </row>
    <row r="1979" spans="1:10" ht="150" x14ac:dyDescent="0.25">
      <c r="A1979" s="1" t="str">
        <f>"2016-2020/27"</f>
        <v>2016-2020/27</v>
      </c>
      <c r="B1979" s="1" t="str">
        <f t="shared" si="355"/>
        <v>23.04.2020</v>
      </c>
      <c r="C1979" s="1" t="str">
        <f t="shared" si="354"/>
        <v>Закрито</v>
      </c>
      <c r="D1979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1979" s="1" t="str">
        <f>"Будівництво"</f>
        <v>Будівництво</v>
      </c>
      <c r="F197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79" s="1" t="str">
        <f>"10"</f>
        <v>10</v>
      </c>
      <c r="H1979" s="1" t="str">
        <f>"Результат"</f>
        <v>Результат</v>
      </c>
      <c r="I1979" s="1" t="str">
        <f>"Позитивний"</f>
        <v>Позитивний</v>
      </c>
      <c r="J1979" s="1" t="str">
        <f>"Ні"</f>
        <v>Ні</v>
      </c>
    </row>
    <row r="1980" spans="1:10" ht="45" x14ac:dyDescent="0.25">
      <c r="A1980" s="1" t="str">
        <f>"2020-2020/27"</f>
        <v>2020-2020/27</v>
      </c>
      <c r="B1980" s="1" t="str">
        <f t="shared" si="355"/>
        <v>23.04.2020</v>
      </c>
      <c r="C1980" s="1" t="str">
        <f t="shared" si="354"/>
        <v>Закрито</v>
      </c>
      <c r="D1980" s="1" t="str">
        <f>"Реєстрація місця проживання особи"</f>
        <v>Реєстрація місця проживання особи</v>
      </c>
      <c r="E1980" s="1" t="str">
        <f>"Реєстрація місця проживання"</f>
        <v>Реєстрація місця проживання</v>
      </c>
      <c r="F1980" s="1" t="str">
        <f>"Відділ реєстрації Новокаховської міської ради"</f>
        <v>Відділ реєстрації Новокаховської міської ради</v>
      </c>
      <c r="G1980" s="1" t="str">
        <f>"1"</f>
        <v>1</v>
      </c>
      <c r="H1980" s="1" t="str">
        <f>"Результат"</f>
        <v>Результат</v>
      </c>
      <c r="I1980" s="1" t="str">
        <f>"Позитивний"</f>
        <v>Позитивний</v>
      </c>
      <c r="J1980" s="1" t="str">
        <f>"Так"</f>
        <v>Так</v>
      </c>
    </row>
    <row r="1981" spans="1:10" ht="45" x14ac:dyDescent="0.25">
      <c r="A1981" s="1" t="str">
        <f>"2013-2020/27"</f>
        <v>2013-2020/27</v>
      </c>
      <c r="B1981" s="1" t="str">
        <f t="shared" si="355"/>
        <v>23.04.2020</v>
      </c>
      <c r="C1981" s="1" t="str">
        <f t="shared" si="354"/>
        <v>Закрито</v>
      </c>
      <c r="D1981" s="1" t="str">
        <f>"Реєстрація місця проживання особи"</f>
        <v>Реєстрація місця проживання особи</v>
      </c>
      <c r="E1981" s="1" t="str">
        <f>"Реєстрація місця проживання"</f>
        <v>Реєстрація місця проживання</v>
      </c>
      <c r="F1981" s="1" t="str">
        <f>"Відділ реєстрації Новокаховської міської ради"</f>
        <v>Відділ реєстрації Новокаховської міської ради</v>
      </c>
      <c r="G1981" s="1" t="str">
        <f>"1"</f>
        <v>1</v>
      </c>
      <c r="H1981" s="1" t="str">
        <f>"Результат"</f>
        <v>Результат</v>
      </c>
      <c r="I1981" s="1" t="str">
        <f>"Позитивний"</f>
        <v>Позитивний</v>
      </c>
      <c r="J1981" s="1" t="str">
        <f>"Так"</f>
        <v>Так</v>
      </c>
    </row>
    <row r="1982" spans="1:10" ht="135" x14ac:dyDescent="0.25">
      <c r="A1982" s="1" t="str">
        <f>"2009-2020/27"</f>
        <v>2009-2020/27</v>
      </c>
      <c r="B1982" s="1" t="str">
        <f t="shared" si="355"/>
        <v>23.04.2020</v>
      </c>
      <c r="C1982" s="1" t="str">
        <f t="shared" si="354"/>
        <v>Закрито</v>
      </c>
      <c r="D198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82" s="1" t="str">
        <f>"Земельні питання"</f>
        <v>Земельні питання</v>
      </c>
      <c r="F19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82" s="1" t="str">
        <f>"1"</f>
        <v>1</v>
      </c>
      <c r="H1982" s="1" t="str">
        <f>"Результат"</f>
        <v>Результат</v>
      </c>
      <c r="I1982" s="1" t="str">
        <f>"Позитивний"</f>
        <v>Позитивний</v>
      </c>
      <c r="J1982" s="1" t="str">
        <f>"Так"</f>
        <v>Так</v>
      </c>
    </row>
    <row r="1983" spans="1:10" ht="135" x14ac:dyDescent="0.25">
      <c r="A1983" s="1" t="str">
        <f>"2007-2020/27"</f>
        <v>2007-2020/27</v>
      </c>
      <c r="B1983" s="1" t="str">
        <f t="shared" si="355"/>
        <v>23.04.2020</v>
      </c>
      <c r="C1983" s="1" t="str">
        <f t="shared" si="354"/>
        <v>Закрито</v>
      </c>
      <c r="D1983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83" s="1" t="str">
        <f>"Земельні питання"</f>
        <v>Земельні питання</v>
      </c>
      <c r="F19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83" s="1" t="str">
        <f>"14"</f>
        <v>14</v>
      </c>
      <c r="H1983" s="1" t="str">
        <f>"Результат"</f>
        <v>Результат</v>
      </c>
      <c r="I1983" s="1" t="str">
        <f>"Позитивний"</f>
        <v>Позитивний</v>
      </c>
      <c r="J1983" s="1" t="str">
        <f>"Ні"</f>
        <v>Ні</v>
      </c>
    </row>
    <row r="1984" spans="1:10" ht="225" x14ac:dyDescent="0.25">
      <c r="A1984" s="1" t="str">
        <f>"2030-2020/27"</f>
        <v>2030-2020/27</v>
      </c>
      <c r="B1984" s="1" t="str">
        <f t="shared" ref="B1984:B2004" si="356">"24.04.2020"</f>
        <v>24.04.2020</v>
      </c>
      <c r="C1984" s="1" t="str">
        <f t="shared" si="354"/>
        <v>Закрито</v>
      </c>
      <c r="D1984" s="1" t="s">
        <v>1</v>
      </c>
      <c r="E1984" s="1" t="str">
        <f>"Будівництво"</f>
        <v>Будівництво</v>
      </c>
      <c r="F198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84" s="1" t="str">
        <f>"30"</f>
        <v>30</v>
      </c>
      <c r="H1984" s="1" t="str">
        <f>"Результат"</f>
        <v>Результат</v>
      </c>
      <c r="I1984" s="1" t="str">
        <f>"Позитивний"</f>
        <v>Позитивний</v>
      </c>
      <c r="J1984" s="1" t="str">
        <f>"Ні"</f>
        <v>Ні</v>
      </c>
    </row>
    <row r="1985" spans="1:10" ht="45" x14ac:dyDescent="0.25">
      <c r="A1985" s="1" t="str">
        <f>"2033-2020/27"</f>
        <v>2033-2020/27</v>
      </c>
      <c r="B1985" s="1" t="str">
        <f t="shared" si="356"/>
        <v>24.04.2020</v>
      </c>
      <c r="C1985" s="1" t="str">
        <f t="shared" si="354"/>
        <v>Закрито</v>
      </c>
      <c r="D1985" s="1" t="str">
        <f>"Реєстрація місця проживання особи"</f>
        <v>Реєстрація місця проживання особи</v>
      </c>
      <c r="E1985" s="1" t="str">
        <f>"Реєстрація місця проживання"</f>
        <v>Реєстрація місця проживання</v>
      </c>
      <c r="F1985" s="1" t="str">
        <f>"Відділ реєстрації Новокаховської міської ради"</f>
        <v>Відділ реєстрації Новокаховської міської ради</v>
      </c>
      <c r="G1985" s="1" t="str">
        <f>"1"</f>
        <v>1</v>
      </c>
      <c r="H1985" s="1" t="str">
        <f>"Результат"</f>
        <v>Результат</v>
      </c>
      <c r="I1985" s="1" t="str">
        <f>"Позитивний"</f>
        <v>Позитивний</v>
      </c>
      <c r="J1985" s="1" t="str">
        <f>"Так"</f>
        <v>Так</v>
      </c>
    </row>
    <row r="1986" spans="1:10" ht="135" x14ac:dyDescent="0.25">
      <c r="A1986" s="1" t="str">
        <f>"2045-2020/27"</f>
        <v>2045-2020/27</v>
      </c>
      <c r="B1986" s="1" t="str">
        <f t="shared" si="356"/>
        <v>24.04.2020</v>
      </c>
      <c r="C1986" s="1" t="str">
        <f t="shared" si="354"/>
        <v>Закрито</v>
      </c>
      <c r="D198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1986" s="1" t="str">
        <f>"Земельні питання"</f>
        <v>Земельні питання</v>
      </c>
      <c r="F198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86" s="1" t="str">
        <f>"3"</f>
        <v>3</v>
      </c>
      <c r="H1986" s="1" t="str">
        <f>"Результат"</f>
        <v>Результат</v>
      </c>
      <c r="I1986" s="1" t="str">
        <f>"Позитивний"</f>
        <v>Позитивний</v>
      </c>
      <c r="J1986" s="1" t="str">
        <f>"Ні"</f>
        <v>Ні</v>
      </c>
    </row>
    <row r="1987" spans="1:10" ht="120" x14ac:dyDescent="0.25">
      <c r="A1987" s="1" t="str">
        <f>"2040-2020/27"</f>
        <v>2040-2020/27</v>
      </c>
      <c r="B1987" s="1" t="str">
        <f t="shared" si="356"/>
        <v>24.04.2020</v>
      </c>
      <c r="C1987" s="1" t="str">
        <f t="shared" si="354"/>
        <v>Закрито</v>
      </c>
      <c r="D1987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987" s="1" t="str">
        <f>"Будівництво"</f>
        <v>Будівництво</v>
      </c>
      <c r="F198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87" s="1" t="str">
        <f>"10"</f>
        <v>10</v>
      </c>
      <c r="H1987" s="1" t="str">
        <f>"Результат"</f>
        <v>Результат</v>
      </c>
      <c r="I1987" s="1" t="str">
        <f>"Позитивний"</f>
        <v>Позитивний</v>
      </c>
      <c r="J1987" s="1" t="str">
        <f>"Ні"</f>
        <v>Ні</v>
      </c>
    </row>
    <row r="1988" spans="1:10" ht="90" x14ac:dyDescent="0.25">
      <c r="A1988" s="1" t="str">
        <f>"test-24-0951"</f>
        <v>test-24-0951</v>
      </c>
      <c r="B1988" s="1" t="str">
        <f t="shared" si="356"/>
        <v>24.04.2020</v>
      </c>
      <c r="C1988" s="1" t="str">
        <f t="shared" si="354"/>
        <v>Закрито</v>
      </c>
      <c r="D198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88" s="1" t="str">
        <f>"Інші послуги"</f>
        <v>Інші послуги</v>
      </c>
      <c r="F198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88" s="1" t="str">
        <f>"5"</f>
        <v>5</v>
      </c>
      <c r="H1988" s="1" t="str">
        <f>"Результат"</f>
        <v>Результат</v>
      </c>
      <c r="I1988" s="1" t="str">
        <f>"Позитивний"</f>
        <v>Позитивний</v>
      </c>
      <c r="J1988" s="1" t="str">
        <f>"Ні"</f>
        <v>Ні</v>
      </c>
    </row>
    <row r="1989" spans="1:10" ht="135" x14ac:dyDescent="0.25">
      <c r="A1989" s="1" t="str">
        <f>"2043-2020/27"</f>
        <v>2043-2020/27</v>
      </c>
      <c r="B1989" s="1" t="str">
        <f t="shared" si="356"/>
        <v>24.04.2020</v>
      </c>
      <c r="C1989" s="1" t="str">
        <f t="shared" si="354"/>
        <v>Закрито</v>
      </c>
      <c r="D19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89" s="1" t="str">
        <f>"Земельні питання"</f>
        <v>Земельні питання</v>
      </c>
      <c r="F19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89" s="1" t="str">
        <f>"1"</f>
        <v>1</v>
      </c>
      <c r="H1989" s="1" t="str">
        <f>"Результат"</f>
        <v>Результат</v>
      </c>
      <c r="I1989" s="1" t="str">
        <f>"Позитивний"</f>
        <v>Позитивний</v>
      </c>
      <c r="J1989" s="1" t="str">
        <f>"Так"</f>
        <v>Так</v>
      </c>
    </row>
    <row r="1990" spans="1:10" ht="105" x14ac:dyDescent="0.25">
      <c r="A1990" s="1" t="str">
        <f>"2028-2020/27"</f>
        <v>2028-2020/27</v>
      </c>
      <c r="B1990" s="1" t="str">
        <f t="shared" si="356"/>
        <v>24.04.2020</v>
      </c>
      <c r="C1990" s="1" t="str">
        <f t="shared" si="354"/>
        <v>Закрито</v>
      </c>
      <c r="D1990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1990" s="1" t="str">
        <f>"Будівництво"</f>
        <v>Будівництво</v>
      </c>
      <c r="F199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90" s="1" t="str">
        <f>"10"</f>
        <v>10</v>
      </c>
      <c r="H1990" s="1" t="str">
        <f>"Результат"</f>
        <v>Результат</v>
      </c>
      <c r="I1990" s="1" t="str">
        <f>"Позитивний"</f>
        <v>Позитивний</v>
      </c>
      <c r="J1990" s="1" t="str">
        <f>"Ні"</f>
        <v>Ні</v>
      </c>
    </row>
    <row r="1991" spans="1:10" ht="135" x14ac:dyDescent="0.25">
      <c r="A1991" s="1" t="str">
        <f>"2046-2020/27"</f>
        <v>2046-2020/27</v>
      </c>
      <c r="B1991" s="1" t="str">
        <f t="shared" si="356"/>
        <v>24.04.2020</v>
      </c>
      <c r="C1991" s="1" t="str">
        <f t="shared" si="354"/>
        <v>Закрито</v>
      </c>
      <c r="D1991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1991" s="1" t="str">
        <f>"Земельні питання"</f>
        <v>Земельні питання</v>
      </c>
      <c r="F19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91" s="1" t="str">
        <f>"14"</f>
        <v>14</v>
      </c>
      <c r="H1991" s="1" t="str">
        <f>"Результат"</f>
        <v>Результат</v>
      </c>
      <c r="I1991" s="1" t="str">
        <f>"Мотивована відмова"</f>
        <v>Мотивована відмова</v>
      </c>
      <c r="J1991" s="1" t="str">
        <f>"Ні"</f>
        <v>Ні</v>
      </c>
    </row>
    <row r="1992" spans="1:10" ht="135" x14ac:dyDescent="0.25">
      <c r="A1992" s="1" t="str">
        <f>"2044-2020/27"</f>
        <v>2044-2020/27</v>
      </c>
      <c r="B1992" s="1" t="str">
        <f t="shared" si="356"/>
        <v>24.04.2020</v>
      </c>
      <c r="C1992" s="1" t="str">
        <f t="shared" si="354"/>
        <v>Закрито</v>
      </c>
      <c r="D19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1992" s="1" t="str">
        <f>"Земельні питання"</f>
        <v>Земельні питання</v>
      </c>
      <c r="F19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92" s="1" t="str">
        <f>"1"</f>
        <v>1</v>
      </c>
      <c r="H1992" s="1" t="str">
        <f>"Результат"</f>
        <v>Результат</v>
      </c>
      <c r="I1992" s="1" t="str">
        <f>"Позитивний"</f>
        <v>Позитивний</v>
      </c>
      <c r="J1992" s="1" t="str">
        <f>"Так"</f>
        <v>Так</v>
      </c>
    </row>
    <row r="1993" spans="1:10" ht="135" x14ac:dyDescent="0.25">
      <c r="A1993" s="1" t="str">
        <f>"2041-2020/27"</f>
        <v>2041-2020/27</v>
      </c>
      <c r="B1993" s="1" t="str">
        <f t="shared" si="356"/>
        <v>24.04.2020</v>
      </c>
      <c r="C1993" s="1" t="str">
        <f t="shared" si="354"/>
        <v>Закрито</v>
      </c>
      <c r="D1993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1993" s="1" t="str">
        <f>"Земельні питання"</f>
        <v>Земельні питання</v>
      </c>
      <c r="F19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93" s="1" t="str">
        <f>"14"</f>
        <v>14</v>
      </c>
      <c r="H1993" s="1" t="str">
        <f>"Результат"</f>
        <v>Результат</v>
      </c>
      <c r="I1993" s="1" t="str">
        <f>"Позитивний"</f>
        <v>Позитивний</v>
      </c>
      <c r="J1993" s="1" t="str">
        <f>"Ні"</f>
        <v>Ні</v>
      </c>
    </row>
    <row r="1994" spans="1:10" ht="45" x14ac:dyDescent="0.25">
      <c r="A1994" s="1" t="str">
        <f>"2032-2020/27"</f>
        <v>2032-2020/27</v>
      </c>
      <c r="B1994" s="1" t="str">
        <f t="shared" si="356"/>
        <v>24.04.2020</v>
      </c>
      <c r="C1994" s="1" t="str">
        <f t="shared" si="354"/>
        <v>Закрито</v>
      </c>
      <c r="D1994" s="1" t="str">
        <f>"Реєстрація місця проживання особи"</f>
        <v>Реєстрація місця проживання особи</v>
      </c>
      <c r="E1994" s="1" t="str">
        <f>"Реєстрація місця проживання"</f>
        <v>Реєстрація місця проживання</v>
      </c>
      <c r="F1994" s="1" t="str">
        <f>"Відділ реєстрації Новокаховської міської ради"</f>
        <v>Відділ реєстрації Новокаховської міської ради</v>
      </c>
      <c r="G1994" s="1" t="str">
        <f>"1"</f>
        <v>1</v>
      </c>
      <c r="H1994" s="1" t="str">
        <f>"Результат"</f>
        <v>Результат</v>
      </c>
      <c r="I1994" s="1" t="str">
        <f>"Позитивний"</f>
        <v>Позитивний</v>
      </c>
      <c r="J1994" s="1" t="str">
        <f>"Так"</f>
        <v>Так</v>
      </c>
    </row>
    <row r="1995" spans="1:10" ht="120" x14ac:dyDescent="0.25">
      <c r="A1995" s="1" t="str">
        <f>"2029-2020/27"</f>
        <v>2029-2020/27</v>
      </c>
      <c r="B1995" s="1" t="str">
        <f t="shared" si="356"/>
        <v>24.04.2020</v>
      </c>
      <c r="C1995" s="1" t="str">
        <f t="shared" si="354"/>
        <v>Закрито</v>
      </c>
      <c r="D199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1995" s="1" t="str">
        <f>"Будівництво"</f>
        <v>Будівництво</v>
      </c>
      <c r="F199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1995" s="1" t="str">
        <f>"10"</f>
        <v>10</v>
      </c>
      <c r="H1995" s="1" t="str">
        <f>"Результат"</f>
        <v>Результат</v>
      </c>
      <c r="I1995" s="1" t="str">
        <f>"Позитивний"</f>
        <v>Позитивний</v>
      </c>
      <c r="J1995" s="1" t="str">
        <f>"Ні"</f>
        <v>Ні</v>
      </c>
    </row>
    <row r="1996" spans="1:10" ht="90" x14ac:dyDescent="0.25">
      <c r="A1996" s="1" t="str">
        <f>"2038-2020/27"</f>
        <v>2038-2020/27</v>
      </c>
      <c r="B1996" s="1" t="str">
        <f t="shared" si="356"/>
        <v>24.04.2020</v>
      </c>
      <c r="C1996" s="1" t="str">
        <f t="shared" si="354"/>
        <v>Закрито</v>
      </c>
      <c r="D199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1996" s="1" t="str">
        <f>"Інші послуги"</f>
        <v>Інші послуги</v>
      </c>
      <c r="F199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1996" s="1" t="str">
        <f>"5"</f>
        <v>5</v>
      </c>
      <c r="H1996" s="1" t="str">
        <f>"Результат"</f>
        <v>Результат</v>
      </c>
      <c r="I1996" s="1" t="str">
        <f>"Позитивний"</f>
        <v>Позитивний</v>
      </c>
      <c r="J1996" s="1" t="str">
        <f>"Ні"</f>
        <v>Ні</v>
      </c>
    </row>
    <row r="1997" spans="1:10" ht="135" x14ac:dyDescent="0.25">
      <c r="A1997" s="1" t="str">
        <f>"2037-2020/27"</f>
        <v>2037-2020/27</v>
      </c>
      <c r="B1997" s="1" t="str">
        <f t="shared" si="356"/>
        <v>24.04.2020</v>
      </c>
      <c r="C1997" s="1" t="str">
        <f t="shared" si="354"/>
        <v>Закрито</v>
      </c>
      <c r="D199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97" s="1" t="str">
        <f>"Земельні питання"</f>
        <v>Земельні питання</v>
      </c>
      <c r="F19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97" s="1" t="str">
        <f>"14"</f>
        <v>14</v>
      </c>
      <c r="H1997" s="1" t="str">
        <f>"Результат"</f>
        <v>Результат</v>
      </c>
      <c r="I1997" s="1" t="str">
        <f>"Мотивована відмова"</f>
        <v>Мотивована відмова</v>
      </c>
      <c r="J1997" s="1" t="str">
        <f>"Ні"</f>
        <v>Ні</v>
      </c>
    </row>
    <row r="1998" spans="1:10" ht="45" x14ac:dyDescent="0.25">
      <c r="A1998" s="1" t="str">
        <f>"2027-2020/27"</f>
        <v>2027-2020/27</v>
      </c>
      <c r="B1998" s="1" t="str">
        <f t="shared" si="356"/>
        <v>24.04.2020</v>
      </c>
      <c r="C1998" s="1" t="str">
        <f t="shared" si="354"/>
        <v>Закрито</v>
      </c>
      <c r="D1998" s="1" t="str">
        <f>"Реєстрація місця проживання особи"</f>
        <v>Реєстрація місця проживання особи</v>
      </c>
      <c r="E1998" s="1" t="str">
        <f>"Реєстрація місця проживання"</f>
        <v>Реєстрація місця проживання</v>
      </c>
      <c r="F1998" s="1" t="str">
        <f>"Відділ реєстрації Новокаховської міської ради"</f>
        <v>Відділ реєстрації Новокаховської міської ради</v>
      </c>
      <c r="G1998" s="1" t="str">
        <f>"1"</f>
        <v>1</v>
      </c>
      <c r="H1998" s="1" t="str">
        <f>"Результат"</f>
        <v>Результат</v>
      </c>
      <c r="I1998" s="1" t="str">
        <f>"Позитивний"</f>
        <v>Позитивний</v>
      </c>
      <c r="J1998" s="1" t="str">
        <f>"Так"</f>
        <v>Так</v>
      </c>
    </row>
    <row r="1999" spans="1:10" ht="135" x14ac:dyDescent="0.25">
      <c r="A1999" s="1" t="str">
        <f>"2035-2020/27"</f>
        <v>2035-2020/27</v>
      </c>
      <c r="B1999" s="1" t="str">
        <f t="shared" si="356"/>
        <v>24.04.2020</v>
      </c>
      <c r="C1999" s="1" t="str">
        <f t="shared" si="354"/>
        <v>Закрито</v>
      </c>
      <c r="D199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1999" s="1" t="str">
        <f>"Земельні питання"</f>
        <v>Земельні питання</v>
      </c>
      <c r="F19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1999" s="1" t="str">
        <f>"14"</f>
        <v>14</v>
      </c>
      <c r="H1999" s="1" t="str">
        <f>"Результат"</f>
        <v>Результат</v>
      </c>
      <c r="I1999" s="1" t="str">
        <f>"Позитивний"</f>
        <v>Позитивний</v>
      </c>
      <c r="J1999" s="1" t="str">
        <f>"Ні"</f>
        <v>Ні</v>
      </c>
    </row>
    <row r="2000" spans="1:10" ht="135" x14ac:dyDescent="0.25">
      <c r="A2000" s="1" t="str">
        <f>"2036-2020/27"</f>
        <v>2036-2020/27</v>
      </c>
      <c r="B2000" s="1" t="str">
        <f t="shared" si="356"/>
        <v>24.04.2020</v>
      </c>
      <c r="C2000" s="1" t="str">
        <f t="shared" si="354"/>
        <v>Закрито</v>
      </c>
      <c r="D200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000" s="1" t="str">
        <f>"Земельні питання"</f>
        <v>Земельні питання</v>
      </c>
      <c r="F20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00" s="1" t="str">
        <f>"14"</f>
        <v>14</v>
      </c>
      <c r="H2000" s="1" t="str">
        <f>"Результат"</f>
        <v>Результат</v>
      </c>
      <c r="I2000" s="1" t="str">
        <f>"Позитивний"</f>
        <v>Позитивний</v>
      </c>
      <c r="J2000" s="1" t="str">
        <f>"Ні"</f>
        <v>Ні</v>
      </c>
    </row>
    <row r="2001" spans="1:10" ht="135" x14ac:dyDescent="0.25">
      <c r="A2001" s="1" t="str">
        <f>"2042-2020/27"</f>
        <v>2042-2020/27</v>
      </c>
      <c r="B2001" s="1" t="str">
        <f t="shared" si="356"/>
        <v>24.04.2020</v>
      </c>
      <c r="C2001" s="1" t="str">
        <f t="shared" si="354"/>
        <v>Закрито</v>
      </c>
      <c r="D200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001" s="1" t="str">
        <f>"Земельні питання"</f>
        <v>Земельні питання</v>
      </c>
      <c r="F20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01" s="1" t="str">
        <f>"14"</f>
        <v>14</v>
      </c>
      <c r="H2001" s="1" t="str">
        <f>"Результат"</f>
        <v>Результат</v>
      </c>
      <c r="I2001" s="1" t="str">
        <f>"Позитивний"</f>
        <v>Позитивний</v>
      </c>
      <c r="J2001" s="1" t="str">
        <f>"Ні"</f>
        <v>Ні</v>
      </c>
    </row>
    <row r="2002" spans="1:10" ht="45" x14ac:dyDescent="0.25">
      <c r="A2002" s="1" t="str">
        <f>"2039-2020/27"</f>
        <v>2039-2020/27</v>
      </c>
      <c r="B2002" s="1" t="str">
        <f t="shared" si="356"/>
        <v>24.04.2020</v>
      </c>
      <c r="C2002" s="1" t="str">
        <f t="shared" si="354"/>
        <v>Закрито</v>
      </c>
      <c r="D2002" s="1" t="str">
        <f>"Реєстрація місця проживання особи"</f>
        <v>Реєстрація місця проживання особи</v>
      </c>
      <c r="E2002" s="1" t="str">
        <f>"Реєстрація місця проживання"</f>
        <v>Реєстрація місця проживання</v>
      </c>
      <c r="F2002" s="1" t="str">
        <f>"Відділ реєстрації Новокаховської міської ради"</f>
        <v>Відділ реєстрації Новокаховської міської ради</v>
      </c>
      <c r="G2002" s="1" t="str">
        <f>"1"</f>
        <v>1</v>
      </c>
      <c r="H2002" s="1" t="str">
        <f>"Результат"</f>
        <v>Результат</v>
      </c>
      <c r="I2002" s="1" t="str">
        <f>"Позитивний"</f>
        <v>Позитивний</v>
      </c>
      <c r="J2002" s="1" t="str">
        <f>"Так"</f>
        <v>Так</v>
      </c>
    </row>
    <row r="2003" spans="1:10" ht="45" x14ac:dyDescent="0.25">
      <c r="A2003" s="1" t="str">
        <f>"2031-2020/27"</f>
        <v>2031-2020/27</v>
      </c>
      <c r="B2003" s="1" t="str">
        <f t="shared" si="356"/>
        <v>24.04.2020</v>
      </c>
      <c r="C2003" s="1" t="str">
        <f t="shared" si="354"/>
        <v>Закрито</v>
      </c>
      <c r="D2003" s="1" t="str">
        <f>"Реєстрація місця проживання особи"</f>
        <v>Реєстрація місця проживання особи</v>
      </c>
      <c r="E2003" s="1" t="str">
        <f>"Реєстрація місця проживання"</f>
        <v>Реєстрація місця проживання</v>
      </c>
      <c r="F2003" s="1" t="str">
        <f>"Відділ реєстрації Новокаховської міської ради"</f>
        <v>Відділ реєстрації Новокаховської міської ради</v>
      </c>
      <c r="G2003" s="1" t="str">
        <f>"1"</f>
        <v>1</v>
      </c>
      <c r="H2003" s="1" t="str">
        <f>"Результат"</f>
        <v>Результат</v>
      </c>
      <c r="I2003" s="1" t="str">
        <f>"Позитивний"</f>
        <v>Позитивний</v>
      </c>
      <c r="J2003" s="1" t="str">
        <f>"Так"</f>
        <v>Так</v>
      </c>
    </row>
    <row r="2004" spans="1:10" ht="45" x14ac:dyDescent="0.25">
      <c r="A2004" s="1" t="str">
        <f>"2034-2020/27"</f>
        <v>2034-2020/27</v>
      </c>
      <c r="B2004" s="1" t="str">
        <f t="shared" si="356"/>
        <v>24.04.2020</v>
      </c>
      <c r="C2004" s="1" t="str">
        <f t="shared" si="354"/>
        <v>Закрито</v>
      </c>
      <c r="D2004" s="1" t="str">
        <f>"Зняття з реєстрації місця проживання"</f>
        <v>Зняття з реєстрації місця проживання</v>
      </c>
      <c r="E2004" s="1" t="str">
        <f>"Реєстрація місця проживання"</f>
        <v>Реєстрація місця проживання</v>
      </c>
      <c r="F2004" s="1" t="str">
        <f>"Відділ реєстрації Новокаховської міської ради"</f>
        <v>Відділ реєстрації Новокаховської міської ради</v>
      </c>
      <c r="G2004" s="1" t="str">
        <f>"1"</f>
        <v>1</v>
      </c>
      <c r="H2004" s="1" t="str">
        <f>"Результат"</f>
        <v>Результат</v>
      </c>
      <c r="I2004" s="1" t="str">
        <f>"Позитивний"</f>
        <v>Позитивний</v>
      </c>
      <c r="J2004" s="1" t="str">
        <f>"Так"</f>
        <v>Так</v>
      </c>
    </row>
    <row r="2005" spans="1:10" ht="135" x14ac:dyDescent="0.25">
      <c r="A2005" s="1" t="str">
        <f>"2062-2020/27"</f>
        <v>2062-2020/27</v>
      </c>
      <c r="B2005" s="1" t="str">
        <f t="shared" ref="B2005:B2028" si="357">"27.04.2020"</f>
        <v>27.04.2020</v>
      </c>
      <c r="C2005" s="1" t="str">
        <f t="shared" si="354"/>
        <v>Закрито</v>
      </c>
      <c r="D200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05" s="1" t="str">
        <f>"Земельні питання"</f>
        <v>Земельні питання</v>
      </c>
      <c r="F20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05" s="1" t="str">
        <f>"14"</f>
        <v>14</v>
      </c>
      <c r="H2005" s="1" t="str">
        <f>"Результат"</f>
        <v>Результат</v>
      </c>
      <c r="I2005" s="1" t="str">
        <f>"Мотивована відмова"</f>
        <v>Мотивована відмова</v>
      </c>
      <c r="J2005" s="1" t="str">
        <f>"Ні"</f>
        <v>Ні</v>
      </c>
    </row>
    <row r="2006" spans="1:10" ht="135" x14ac:dyDescent="0.25">
      <c r="A2006" s="1" t="str">
        <f>"2068-2020/27"</f>
        <v>2068-2020/27</v>
      </c>
      <c r="B2006" s="1" t="str">
        <f t="shared" si="357"/>
        <v>27.04.2020</v>
      </c>
      <c r="C2006" s="1" t="str">
        <f t="shared" si="354"/>
        <v>Закрито</v>
      </c>
      <c r="D200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06" s="1" t="str">
        <f>"Земельні питання"</f>
        <v>Земельні питання</v>
      </c>
      <c r="F20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06" s="1" t="str">
        <f>"3"</f>
        <v>3</v>
      </c>
      <c r="H2006" s="1" t="str">
        <f>"Результат"</f>
        <v>Результат</v>
      </c>
      <c r="I2006" s="1" t="str">
        <f>"Позитивний"</f>
        <v>Позитивний</v>
      </c>
      <c r="J2006" s="1" t="str">
        <f>"Ні"</f>
        <v>Ні</v>
      </c>
    </row>
    <row r="2007" spans="1:10" ht="45" x14ac:dyDescent="0.25">
      <c r="A2007" s="1" t="str">
        <f>"2058-2020/27"</f>
        <v>2058-2020/27</v>
      </c>
      <c r="B2007" s="1" t="str">
        <f t="shared" si="357"/>
        <v>27.04.2020</v>
      </c>
      <c r="C2007" s="1" t="str">
        <f t="shared" si="354"/>
        <v>Закрито</v>
      </c>
      <c r="D2007" s="1" t="str">
        <f>"Реєстрація місця проживання особи"</f>
        <v>Реєстрація місця проживання особи</v>
      </c>
      <c r="E2007" s="1" t="str">
        <f>"Реєстрація місця проживання"</f>
        <v>Реєстрація місця проживання</v>
      </c>
      <c r="F2007" s="1" t="str">
        <f>"Відділ реєстрації Новокаховської міської ради"</f>
        <v>Відділ реєстрації Новокаховської міської ради</v>
      </c>
      <c r="G2007" s="1" t="str">
        <f>"1"</f>
        <v>1</v>
      </c>
      <c r="H2007" s="1" t="str">
        <f>"Результат"</f>
        <v>Результат</v>
      </c>
      <c r="I2007" s="1" t="str">
        <f>"Мотивована відмова"</f>
        <v>Мотивована відмова</v>
      </c>
      <c r="J2007" s="1" t="str">
        <f>"Так"</f>
        <v>Так</v>
      </c>
    </row>
    <row r="2008" spans="1:10" ht="135" x14ac:dyDescent="0.25">
      <c r="A2008" s="1" t="str">
        <f>"2059-2020/27"</f>
        <v>2059-2020/27</v>
      </c>
      <c r="B2008" s="1" t="str">
        <f t="shared" si="357"/>
        <v>27.04.2020</v>
      </c>
      <c r="C2008" s="1" t="str">
        <f t="shared" si="354"/>
        <v>Закрито</v>
      </c>
      <c r="D200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08" s="1" t="str">
        <f>"Земельні питання"</f>
        <v>Земельні питання</v>
      </c>
      <c r="F20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08" s="1" t="str">
        <f>"14"</f>
        <v>14</v>
      </c>
      <c r="H2008" s="1" t="str">
        <f>"Результат"</f>
        <v>Результат</v>
      </c>
      <c r="I2008" s="1" t="str">
        <f>"Позитивний"</f>
        <v>Позитивний</v>
      </c>
      <c r="J2008" s="1" t="str">
        <f>"Ні"</f>
        <v>Ні</v>
      </c>
    </row>
    <row r="2009" spans="1:10" ht="90" x14ac:dyDescent="0.25">
      <c r="A2009" s="1" t="str">
        <f>"2047-2020/27"</f>
        <v>2047-2020/27</v>
      </c>
      <c r="B2009" s="1" t="str">
        <f t="shared" si="357"/>
        <v>27.04.2020</v>
      </c>
      <c r="C2009" s="1" t="str">
        <f t="shared" si="354"/>
        <v>Закрито</v>
      </c>
      <c r="D200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09" s="1" t="str">
        <f>"Інші послуги"</f>
        <v>Інші послуги</v>
      </c>
      <c r="F200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09" s="1" t="str">
        <f>"5"</f>
        <v>5</v>
      </c>
      <c r="H2009" s="1" t="str">
        <f>"Результат"</f>
        <v>Результат</v>
      </c>
      <c r="I2009" s="1" t="str">
        <f>"Позитивний"</f>
        <v>Позитивний</v>
      </c>
      <c r="J2009" s="1" t="str">
        <f>"Ні"</f>
        <v>Ні</v>
      </c>
    </row>
    <row r="2010" spans="1:10" ht="90" x14ac:dyDescent="0.25">
      <c r="A2010" s="1" t="str">
        <f>"2050-2020/27"</f>
        <v>2050-2020/27</v>
      </c>
      <c r="B2010" s="1" t="str">
        <f t="shared" si="357"/>
        <v>27.04.2020</v>
      </c>
      <c r="C2010" s="1" t="str">
        <f t="shared" si="354"/>
        <v>Закрито</v>
      </c>
      <c r="D201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10" s="1" t="str">
        <f>"Інші послуги"</f>
        <v>Інші послуги</v>
      </c>
      <c r="F201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10" s="1" t="str">
        <f>"5"</f>
        <v>5</v>
      </c>
      <c r="H2010" s="1" t="str">
        <f>"Результат"</f>
        <v>Результат</v>
      </c>
      <c r="I2010" s="1" t="str">
        <f>"Позитивний"</f>
        <v>Позитивний</v>
      </c>
      <c r="J2010" s="1" t="str">
        <f>"Ні"</f>
        <v>Ні</v>
      </c>
    </row>
    <row r="2011" spans="1:10" ht="45" x14ac:dyDescent="0.25">
      <c r="A2011" s="1" t="str">
        <f>"2051-2020/27"</f>
        <v>2051-2020/27</v>
      </c>
      <c r="B2011" s="1" t="str">
        <f t="shared" si="357"/>
        <v>27.04.2020</v>
      </c>
      <c r="C2011" s="1" t="str">
        <f t="shared" si="354"/>
        <v>Закрито</v>
      </c>
      <c r="D2011" s="1" t="str">
        <f>"Реєстрація місця проживання особи"</f>
        <v>Реєстрація місця проживання особи</v>
      </c>
      <c r="E2011" s="1" t="str">
        <f>"Реєстрація місця проживання"</f>
        <v>Реєстрація місця проживання</v>
      </c>
      <c r="F2011" s="1" t="str">
        <f>"Відділ реєстрації Новокаховської міської ради"</f>
        <v>Відділ реєстрації Новокаховської міської ради</v>
      </c>
      <c r="G2011" s="1" t="str">
        <f>"1"</f>
        <v>1</v>
      </c>
      <c r="H2011" s="1" t="str">
        <f>"Результат"</f>
        <v>Результат</v>
      </c>
      <c r="I2011" s="1" t="str">
        <f>"Позитивний"</f>
        <v>Позитивний</v>
      </c>
      <c r="J2011" s="1" t="str">
        <f>"Так"</f>
        <v>Так</v>
      </c>
    </row>
    <row r="2012" spans="1:10" ht="45" x14ac:dyDescent="0.25">
      <c r="A2012" s="1" t="str">
        <f>"2052-2020/27"</f>
        <v>2052-2020/27</v>
      </c>
      <c r="B2012" s="1" t="str">
        <f t="shared" si="357"/>
        <v>27.04.2020</v>
      </c>
      <c r="C2012" s="1" t="str">
        <f t="shared" si="354"/>
        <v>Закрито</v>
      </c>
      <c r="D2012" s="1" t="str">
        <f>"Зняття з реєстрації місця проживання"</f>
        <v>Зняття з реєстрації місця проживання</v>
      </c>
      <c r="E2012" s="1" t="str">
        <f>"Реєстрація місця проживання"</f>
        <v>Реєстрація місця проживання</v>
      </c>
      <c r="F2012" s="1" t="str">
        <f>"Відділ реєстрації Новокаховської міської ради"</f>
        <v>Відділ реєстрації Новокаховської міської ради</v>
      </c>
      <c r="G2012" s="1" t="str">
        <f>"1"</f>
        <v>1</v>
      </c>
      <c r="H2012" s="1" t="str">
        <f>"Результат"</f>
        <v>Результат</v>
      </c>
      <c r="I2012" s="1" t="str">
        <f>"Позитивний"</f>
        <v>Позитивний</v>
      </c>
      <c r="J2012" s="1" t="str">
        <f>"Так"</f>
        <v>Так</v>
      </c>
    </row>
    <row r="2013" spans="1:10" ht="135" x14ac:dyDescent="0.25">
      <c r="A2013" s="1" t="str">
        <f>"2065-2020/27"</f>
        <v>2065-2020/27</v>
      </c>
      <c r="B2013" s="1" t="str">
        <f t="shared" si="357"/>
        <v>27.04.2020</v>
      </c>
      <c r="C2013" s="1" t="str">
        <f t="shared" si="354"/>
        <v>Закрито</v>
      </c>
      <c r="D2013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13" s="1" t="str">
        <f>"Земельні питання"</f>
        <v>Земельні питання</v>
      </c>
      <c r="F20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13" s="1" t="str">
        <f>"14"</f>
        <v>14</v>
      </c>
      <c r="H2013" s="1" t="str">
        <f>"Результат"</f>
        <v>Результат</v>
      </c>
      <c r="I2013" s="1" t="str">
        <f>"Позитивний"</f>
        <v>Позитивний</v>
      </c>
      <c r="J2013" s="1" t="str">
        <f>"Ні"</f>
        <v>Ні</v>
      </c>
    </row>
    <row r="2014" spans="1:10" ht="45" x14ac:dyDescent="0.25">
      <c r="A2014" s="1" t="str">
        <f>"2056-2020/27"</f>
        <v>2056-2020/27</v>
      </c>
      <c r="B2014" s="1" t="str">
        <f t="shared" si="357"/>
        <v>27.04.2020</v>
      </c>
      <c r="C2014" s="1" t="str">
        <f t="shared" si="354"/>
        <v>Закрито</v>
      </c>
      <c r="D2014" s="1" t="str">
        <f>"Реєстрація місця проживання особи"</f>
        <v>Реєстрація місця проживання особи</v>
      </c>
      <c r="E2014" s="1" t="str">
        <f>"Реєстрація місця проживання"</f>
        <v>Реєстрація місця проживання</v>
      </c>
      <c r="F2014" s="1" t="str">
        <f>"Відділ реєстрації Новокаховської міської ради"</f>
        <v>Відділ реєстрації Новокаховської міської ради</v>
      </c>
      <c r="G2014" s="1" t="str">
        <f>"1"</f>
        <v>1</v>
      </c>
      <c r="H2014" s="1" t="str">
        <f>"Результат"</f>
        <v>Результат</v>
      </c>
      <c r="I2014" s="1" t="str">
        <f>"Позитивний"</f>
        <v>Позитивний</v>
      </c>
      <c r="J2014" s="1" t="str">
        <f>"Так"</f>
        <v>Так</v>
      </c>
    </row>
    <row r="2015" spans="1:10" ht="135" x14ac:dyDescent="0.25">
      <c r="A2015" s="1" t="str">
        <f>"2048-2020/27"</f>
        <v>2048-2020/27</v>
      </c>
      <c r="B2015" s="1" t="str">
        <f t="shared" si="357"/>
        <v>27.04.2020</v>
      </c>
      <c r="C2015" s="1" t="str">
        <f t="shared" si="354"/>
        <v>Закрито</v>
      </c>
      <c r="D20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15" s="1" t="str">
        <f>"Земельні питання"</f>
        <v>Земельні питання</v>
      </c>
      <c r="F20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15" s="1" t="str">
        <f>"1"</f>
        <v>1</v>
      </c>
      <c r="H2015" s="1" t="str">
        <f>"Результат"</f>
        <v>Результат</v>
      </c>
      <c r="I2015" s="1" t="str">
        <f>"Позитивний"</f>
        <v>Позитивний</v>
      </c>
      <c r="J2015" s="1" t="str">
        <f>"Так"</f>
        <v>Так</v>
      </c>
    </row>
    <row r="2016" spans="1:10" ht="45" x14ac:dyDescent="0.25">
      <c r="A2016" s="1" t="str">
        <f>"2057-2020/27"</f>
        <v>2057-2020/27</v>
      </c>
      <c r="B2016" s="1" t="str">
        <f t="shared" si="357"/>
        <v>27.04.2020</v>
      </c>
      <c r="C2016" s="1" t="str">
        <f t="shared" si="354"/>
        <v>Закрито</v>
      </c>
      <c r="D2016" s="1" t="str">
        <f>"Реєстрація місця проживання особи"</f>
        <v>Реєстрація місця проживання особи</v>
      </c>
      <c r="E2016" s="1" t="str">
        <f>"Реєстрація місця проживання"</f>
        <v>Реєстрація місця проживання</v>
      </c>
      <c r="F2016" s="1" t="str">
        <f>"Відділ реєстрації Новокаховської міської ради"</f>
        <v>Відділ реєстрації Новокаховської міської ради</v>
      </c>
      <c r="G2016" s="1" t="str">
        <f>"1"</f>
        <v>1</v>
      </c>
      <c r="H2016" s="1" t="str">
        <f>"Результат"</f>
        <v>Результат</v>
      </c>
      <c r="I2016" s="1" t="str">
        <f>"Позитивний"</f>
        <v>Позитивний</v>
      </c>
      <c r="J2016" s="1" t="str">
        <f>"Так"</f>
        <v>Так</v>
      </c>
    </row>
    <row r="2017" spans="1:10" ht="135" x14ac:dyDescent="0.25">
      <c r="A2017" s="1" t="str">
        <f>"2064-2020/27"</f>
        <v>2064-2020/27</v>
      </c>
      <c r="B2017" s="1" t="str">
        <f t="shared" si="357"/>
        <v>27.04.2020</v>
      </c>
      <c r="C2017" s="1" t="str">
        <f t="shared" si="354"/>
        <v>Закрито</v>
      </c>
      <c r="D201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17" s="1" t="str">
        <f>"Земельні питання"</f>
        <v>Земельні питання</v>
      </c>
      <c r="F20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17" s="1" t="str">
        <f>"14"</f>
        <v>14</v>
      </c>
      <c r="H2017" s="1" t="str">
        <f>"Результат"</f>
        <v>Результат</v>
      </c>
      <c r="I2017" s="1" t="str">
        <f>"Позитивний"</f>
        <v>Позитивний</v>
      </c>
      <c r="J2017" s="1" t="str">
        <f>"Ні"</f>
        <v>Ні</v>
      </c>
    </row>
    <row r="2018" spans="1:10" ht="45" x14ac:dyDescent="0.25">
      <c r="A2018" s="1" t="str">
        <f>"2053-2020/27"</f>
        <v>2053-2020/27</v>
      </c>
      <c r="B2018" s="1" t="str">
        <f t="shared" si="357"/>
        <v>27.04.2020</v>
      </c>
      <c r="C2018" s="1" t="str">
        <f t="shared" si="354"/>
        <v>Закрито</v>
      </c>
      <c r="D2018" s="1" t="str">
        <f>"Зняття з реєстрації місця проживання"</f>
        <v>Зняття з реєстрації місця проживання</v>
      </c>
      <c r="E2018" s="1" t="str">
        <f>"Реєстрація місця проживання"</f>
        <v>Реєстрація місця проживання</v>
      </c>
      <c r="F2018" s="1" t="str">
        <f>"Відділ реєстрації Новокаховської міської ради"</f>
        <v>Відділ реєстрації Новокаховської міської ради</v>
      </c>
      <c r="G2018" s="1" t="str">
        <f>"1"</f>
        <v>1</v>
      </c>
      <c r="H2018" s="1" t="str">
        <f>"Результат"</f>
        <v>Результат</v>
      </c>
      <c r="I2018" s="1" t="str">
        <f>"Позитивний"</f>
        <v>Позитивний</v>
      </c>
      <c r="J2018" s="1" t="str">
        <f>"Так"</f>
        <v>Так</v>
      </c>
    </row>
    <row r="2019" spans="1:10" ht="135" x14ac:dyDescent="0.25">
      <c r="A2019" s="1" t="str">
        <f>"2069-2020/27"</f>
        <v>2069-2020/27</v>
      </c>
      <c r="B2019" s="1" t="str">
        <f t="shared" si="357"/>
        <v>27.04.2020</v>
      </c>
      <c r="C2019" s="1" t="str">
        <f t="shared" si="354"/>
        <v>Закрито</v>
      </c>
      <c r="D201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19" s="1" t="str">
        <f>"Земельні питання"</f>
        <v>Земельні питання</v>
      </c>
      <c r="F20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19" s="1" t="str">
        <f>"3"</f>
        <v>3</v>
      </c>
      <c r="H2019" s="1" t="str">
        <f>"Результат"</f>
        <v>Результат</v>
      </c>
      <c r="I2019" s="1" t="str">
        <f>"Позитивний"</f>
        <v>Позитивний</v>
      </c>
      <c r="J2019" s="1" t="str">
        <f>"Ні"</f>
        <v>Ні</v>
      </c>
    </row>
    <row r="2020" spans="1:10" ht="45" x14ac:dyDescent="0.25">
      <c r="A2020" s="1" t="str">
        <f>"2054-2020/27"</f>
        <v>2054-2020/27</v>
      </c>
      <c r="B2020" s="1" t="str">
        <f t="shared" si="357"/>
        <v>27.04.2020</v>
      </c>
      <c r="C2020" s="1" t="str">
        <f t="shared" si="354"/>
        <v>Закрито</v>
      </c>
      <c r="D2020" s="1" t="str">
        <f>"Зняття з реєстрації місця проживання"</f>
        <v>Зняття з реєстрації місця проживання</v>
      </c>
      <c r="E2020" s="1" t="str">
        <f>"Реєстрація місця проживання"</f>
        <v>Реєстрація місця проживання</v>
      </c>
      <c r="F2020" s="1" t="str">
        <f>"Відділ реєстрації Новокаховської міської ради"</f>
        <v>Відділ реєстрації Новокаховської міської ради</v>
      </c>
      <c r="G2020" s="1" t="str">
        <f>"1"</f>
        <v>1</v>
      </c>
      <c r="H2020" s="1" t="str">
        <f>"Результат"</f>
        <v>Результат</v>
      </c>
      <c r="I2020" s="1" t="str">
        <f>"Позитивний"</f>
        <v>Позитивний</v>
      </c>
      <c r="J2020" s="1" t="str">
        <f>"Так"</f>
        <v>Так</v>
      </c>
    </row>
    <row r="2021" spans="1:10" ht="135" x14ac:dyDescent="0.25">
      <c r="A2021" s="1" t="str">
        <f>"8110-2020/27"</f>
        <v>8110-2020/27</v>
      </c>
      <c r="B2021" s="1" t="str">
        <f t="shared" si="357"/>
        <v>27.04.2020</v>
      </c>
      <c r="C2021" s="1" t="str">
        <f t="shared" ref="C2021:C2084" si="358">"Закрито"</f>
        <v>Закрито</v>
      </c>
      <c r="D202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021" s="1" t="str">
        <f>"Земельні питання"</f>
        <v>Земельні питання</v>
      </c>
      <c r="F20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21" s="1" t="str">
        <f>"14"</f>
        <v>14</v>
      </c>
      <c r="H2021" s="1" t="str">
        <f>"Результат"</f>
        <v>Результат</v>
      </c>
      <c r="I2021" s="1" t="str">
        <f>"Позитивний"</f>
        <v>Позитивний</v>
      </c>
      <c r="J2021" s="1" t="str">
        <f>"Ні"</f>
        <v>Ні</v>
      </c>
    </row>
    <row r="2022" spans="1:10" ht="45" x14ac:dyDescent="0.25">
      <c r="A2022" s="1" t="str">
        <f>"2055-2020/27"</f>
        <v>2055-2020/27</v>
      </c>
      <c r="B2022" s="1" t="str">
        <f t="shared" si="357"/>
        <v>27.04.2020</v>
      </c>
      <c r="C2022" s="1" t="str">
        <f t="shared" si="358"/>
        <v>Закрито</v>
      </c>
      <c r="D2022" s="1" t="str">
        <f>"Реєстрація місця проживання особи"</f>
        <v>Реєстрація місця проживання особи</v>
      </c>
      <c r="E2022" s="1" t="str">
        <f>"Реєстрація місця проживання"</f>
        <v>Реєстрація місця проживання</v>
      </c>
      <c r="F2022" s="1" t="str">
        <f>"Відділ реєстрації Новокаховської міської ради"</f>
        <v>Відділ реєстрації Новокаховської міської ради</v>
      </c>
      <c r="G2022" s="1" t="str">
        <f>"1"</f>
        <v>1</v>
      </c>
      <c r="H2022" s="1" t="str">
        <f>"Результат"</f>
        <v>Результат</v>
      </c>
      <c r="I2022" s="1" t="str">
        <f>"Позитивний"</f>
        <v>Позитивний</v>
      </c>
      <c r="J2022" s="1" t="str">
        <f>"Так"</f>
        <v>Так</v>
      </c>
    </row>
    <row r="2023" spans="1:10" ht="90" x14ac:dyDescent="0.25">
      <c r="A2023" s="1" t="str">
        <f>"2066-2020/27"</f>
        <v>2066-2020/27</v>
      </c>
      <c r="B2023" s="1" t="str">
        <f t="shared" si="357"/>
        <v>27.04.2020</v>
      </c>
      <c r="C2023" s="1" t="str">
        <f t="shared" si="358"/>
        <v>Закрито</v>
      </c>
      <c r="D202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23" s="1" t="str">
        <f>"Інші послуги"</f>
        <v>Інші послуги</v>
      </c>
      <c r="F202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23" s="1" t="str">
        <f>"5"</f>
        <v>5</v>
      </c>
      <c r="H2023" s="1" t="str">
        <f>"Результат"</f>
        <v>Результат</v>
      </c>
      <c r="I2023" s="1" t="str">
        <f>"Позитивний"</f>
        <v>Позитивний</v>
      </c>
      <c r="J2023" s="1" t="str">
        <f t="shared" ref="J2023:J2028" si="359">"Ні"</f>
        <v>Ні</v>
      </c>
    </row>
    <row r="2024" spans="1:10" ht="225" x14ac:dyDescent="0.25">
      <c r="A2024" s="1" t="str">
        <f>"2063-2020/27"</f>
        <v>2063-2020/27</v>
      </c>
      <c r="B2024" s="1" t="str">
        <f t="shared" si="357"/>
        <v>27.04.2020</v>
      </c>
      <c r="C2024" s="1" t="str">
        <f t="shared" si="358"/>
        <v>Закрито</v>
      </c>
      <c r="D2024" s="1" t="s">
        <v>1</v>
      </c>
      <c r="E2024" s="1" t="str">
        <f>"Будівництво"</f>
        <v>Будівництво</v>
      </c>
      <c r="F202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024" s="1" t="str">
        <f>"30"</f>
        <v>30</v>
      </c>
      <c r="H2024" s="1" t="str">
        <f>"Результат"</f>
        <v>Результат</v>
      </c>
      <c r="I2024" s="1" t="str">
        <f>"Позитивний"</f>
        <v>Позитивний</v>
      </c>
      <c r="J2024" s="1" t="str">
        <f t="shared" si="359"/>
        <v>Ні</v>
      </c>
    </row>
    <row r="2025" spans="1:10" ht="135" x14ac:dyDescent="0.25">
      <c r="A2025" s="1" t="str">
        <f>"2060-2020/27"</f>
        <v>2060-2020/27</v>
      </c>
      <c r="B2025" s="1" t="str">
        <f t="shared" si="357"/>
        <v>27.04.2020</v>
      </c>
      <c r="C2025" s="1" t="str">
        <f t="shared" si="358"/>
        <v>Закрито</v>
      </c>
      <c r="D20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25" s="1" t="str">
        <f>"Земельні питання"</f>
        <v>Земельні питання</v>
      </c>
      <c r="F20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25" s="1" t="str">
        <f>"3"</f>
        <v>3</v>
      </c>
      <c r="H2025" s="1" t="str">
        <f>"Результат"</f>
        <v>Результат</v>
      </c>
      <c r="I2025" s="1" t="str">
        <f>"Позитивний"</f>
        <v>Позитивний</v>
      </c>
      <c r="J2025" s="1" t="str">
        <f t="shared" si="359"/>
        <v>Ні</v>
      </c>
    </row>
    <row r="2026" spans="1:10" ht="135" x14ac:dyDescent="0.25">
      <c r="A2026" s="1" t="str">
        <f>"2067-2020/27"</f>
        <v>2067-2020/27</v>
      </c>
      <c r="B2026" s="1" t="str">
        <f t="shared" si="357"/>
        <v>27.04.2020</v>
      </c>
      <c r="C2026" s="1" t="str">
        <f t="shared" si="358"/>
        <v>Закрито</v>
      </c>
      <c r="D202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026" s="1" t="str">
        <f>"Земельні питання"</f>
        <v>Земельні питання</v>
      </c>
      <c r="F20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26" s="1" t="str">
        <f>"14"</f>
        <v>14</v>
      </c>
      <c r="H2026" s="1" t="str">
        <f>"Результат"</f>
        <v>Результат</v>
      </c>
      <c r="I2026" s="1" t="str">
        <f>"Позитивний"</f>
        <v>Позитивний</v>
      </c>
      <c r="J2026" s="1" t="str">
        <f t="shared" si="359"/>
        <v>Ні</v>
      </c>
    </row>
    <row r="2027" spans="1:10" ht="135" x14ac:dyDescent="0.25">
      <c r="A2027" s="1" t="str">
        <f>"2061-2020/27"</f>
        <v>2061-2020/27</v>
      </c>
      <c r="B2027" s="1" t="str">
        <f t="shared" si="357"/>
        <v>27.04.2020</v>
      </c>
      <c r="C2027" s="1" t="str">
        <f t="shared" si="358"/>
        <v>Закрито</v>
      </c>
      <c r="D202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27" s="1" t="str">
        <f>"Земельні питання"</f>
        <v>Земельні питання</v>
      </c>
      <c r="F20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27" s="1" t="str">
        <f>"14"</f>
        <v>14</v>
      </c>
      <c r="H2027" s="1" t="str">
        <f>"Результат"</f>
        <v>Результат</v>
      </c>
      <c r="I2027" s="1" t="str">
        <f>"Мотивована відмова"</f>
        <v>Мотивована відмова</v>
      </c>
      <c r="J2027" s="1" t="str">
        <f t="shared" si="359"/>
        <v>Ні</v>
      </c>
    </row>
    <row r="2028" spans="1:10" ht="90" x14ac:dyDescent="0.25">
      <c r="A2028" s="1" t="str">
        <f>"2049-2020/27"</f>
        <v>2049-2020/27</v>
      </c>
      <c r="B2028" s="1" t="str">
        <f t="shared" si="357"/>
        <v>27.04.2020</v>
      </c>
      <c r="C2028" s="1" t="str">
        <f t="shared" si="358"/>
        <v>Закрито</v>
      </c>
      <c r="D202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28" s="1" t="str">
        <f>"Інші послуги"</f>
        <v>Інші послуги</v>
      </c>
      <c r="F202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28" s="1" t="str">
        <f>"5"</f>
        <v>5</v>
      </c>
      <c r="H2028" s="1" t="str">
        <f>"Результат"</f>
        <v>Результат</v>
      </c>
      <c r="I2028" s="1" t="str">
        <f>"Позитивний"</f>
        <v>Позитивний</v>
      </c>
      <c r="J2028" s="1" t="str">
        <f t="shared" si="359"/>
        <v>Ні</v>
      </c>
    </row>
    <row r="2029" spans="1:10" ht="45" x14ac:dyDescent="0.25">
      <c r="A2029" s="1" t="str">
        <f>"2085-2020/27"</f>
        <v>2085-2020/27</v>
      </c>
      <c r="B2029" s="1" t="str">
        <f t="shared" ref="B2029:B2064" si="360">"28.04.2020"</f>
        <v>28.04.2020</v>
      </c>
      <c r="C2029" s="1" t="str">
        <f t="shared" si="358"/>
        <v>Закрито</v>
      </c>
      <c r="D2029" s="1" t="str">
        <f>"Реєстрація місця проживання особи"</f>
        <v>Реєстрація місця проживання особи</v>
      </c>
      <c r="E2029" s="1" t="str">
        <f>"Реєстрація місця проживання"</f>
        <v>Реєстрація місця проживання</v>
      </c>
      <c r="F2029" s="1" t="str">
        <f>"Відділ реєстрації Новокаховської міської ради"</f>
        <v>Відділ реєстрації Новокаховської міської ради</v>
      </c>
      <c r="G2029" s="1" t="str">
        <f>"1"</f>
        <v>1</v>
      </c>
      <c r="H2029" s="1" t="str">
        <f>"Результат"</f>
        <v>Результат</v>
      </c>
      <c r="I2029" s="1" t="str">
        <f>"Позитивний"</f>
        <v>Позитивний</v>
      </c>
      <c r="J2029" s="1" t="str">
        <f>"Так"</f>
        <v>Так</v>
      </c>
    </row>
    <row r="2030" spans="1:10" ht="135" x14ac:dyDescent="0.25">
      <c r="A2030" s="1" t="str">
        <f>"2100-2020/27"</f>
        <v>2100-2020/27</v>
      </c>
      <c r="B2030" s="1" t="str">
        <f t="shared" si="360"/>
        <v>28.04.2020</v>
      </c>
      <c r="C2030" s="1" t="str">
        <f t="shared" si="358"/>
        <v>Закрито</v>
      </c>
      <c r="D203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30" s="1" t="str">
        <f>"Земельні питання"</f>
        <v>Земельні питання</v>
      </c>
      <c r="F20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30" s="1" t="str">
        <f>"3"</f>
        <v>3</v>
      </c>
      <c r="H2030" s="1" t="str">
        <f>"Результат"</f>
        <v>Результат</v>
      </c>
      <c r="I2030" s="1" t="str">
        <f>"Позитивний"</f>
        <v>Позитивний</v>
      </c>
      <c r="J2030" s="1" t="str">
        <f>"Ні"</f>
        <v>Ні</v>
      </c>
    </row>
    <row r="2031" spans="1:10" ht="135" x14ac:dyDescent="0.25">
      <c r="A2031" s="1" t="str">
        <f>"2097-2020/27"</f>
        <v>2097-2020/27</v>
      </c>
      <c r="B2031" s="1" t="str">
        <f t="shared" si="360"/>
        <v>28.04.2020</v>
      </c>
      <c r="C2031" s="1" t="str">
        <f t="shared" si="358"/>
        <v>Закрито</v>
      </c>
      <c r="D2031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31" s="1" t="str">
        <f>"Земельні питання"</f>
        <v>Земельні питання</v>
      </c>
      <c r="F20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31" s="1" t="str">
        <f>"14"</f>
        <v>14</v>
      </c>
      <c r="H2031" s="1" t="str">
        <f>"Результат"</f>
        <v>Результат</v>
      </c>
      <c r="I2031" s="1" t="str">
        <f>"Позитивний"</f>
        <v>Позитивний</v>
      </c>
      <c r="J2031" s="1" t="str">
        <f>"Ні"</f>
        <v>Ні</v>
      </c>
    </row>
    <row r="2032" spans="1:10" ht="135" x14ac:dyDescent="0.25">
      <c r="A2032" s="1" t="str">
        <f>"test-2804-1137"</f>
        <v>test-2804-1137</v>
      </c>
      <c r="B2032" s="1" t="str">
        <f t="shared" si="360"/>
        <v>28.04.2020</v>
      </c>
      <c r="C2032" s="1" t="str">
        <f t="shared" si="358"/>
        <v>Закрито</v>
      </c>
      <c r="D2032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032" s="1" t="str">
        <f>"Земельні питання"</f>
        <v>Земельні питання</v>
      </c>
      <c r="F20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32" s="1" t="str">
        <f>"14"</f>
        <v>14</v>
      </c>
      <c r="H2032" s="1" t="str">
        <f>""</f>
        <v/>
      </c>
      <c r="I2032" s="1" t="str">
        <f>""</f>
        <v/>
      </c>
      <c r="J2032" s="1" t="str">
        <f>"Ні"</f>
        <v>Ні</v>
      </c>
    </row>
    <row r="2033" spans="1:10" ht="45" x14ac:dyDescent="0.25">
      <c r="A2033" s="1" t="str">
        <f>"2071-2020/27"</f>
        <v>2071-2020/27</v>
      </c>
      <c r="B2033" s="1" t="str">
        <f t="shared" si="360"/>
        <v>28.04.2020</v>
      </c>
      <c r="C2033" s="1" t="str">
        <f t="shared" si="358"/>
        <v>Закрито</v>
      </c>
      <c r="D2033" s="1" t="str">
        <f>"Зняття з реєстрації місця проживання"</f>
        <v>Зняття з реєстрації місця проживання</v>
      </c>
      <c r="E2033" s="1" t="str">
        <f>"Реєстрація місця проживання"</f>
        <v>Реєстрація місця проживання</v>
      </c>
      <c r="F2033" s="1" t="str">
        <f>"Відділ реєстрації Новокаховської міської ради"</f>
        <v>Відділ реєстрації Новокаховської міської ради</v>
      </c>
      <c r="G2033" s="1" t="str">
        <f t="shared" ref="G2033:G2038" si="361">"1"</f>
        <v>1</v>
      </c>
      <c r="H2033" s="1" t="str">
        <f>"Результат"</f>
        <v>Результат</v>
      </c>
      <c r="I2033" s="1" t="str">
        <f>"Позитивний"</f>
        <v>Позитивний</v>
      </c>
      <c r="J2033" s="1" t="str">
        <f t="shared" ref="J2033:J2038" si="362">"Так"</f>
        <v>Так</v>
      </c>
    </row>
    <row r="2034" spans="1:10" ht="45" x14ac:dyDescent="0.25">
      <c r="A2034" s="1" t="str">
        <f>"2072-2020/27"</f>
        <v>2072-2020/27</v>
      </c>
      <c r="B2034" s="1" t="str">
        <f t="shared" si="360"/>
        <v>28.04.2020</v>
      </c>
      <c r="C2034" s="1" t="str">
        <f t="shared" si="358"/>
        <v>Закрито</v>
      </c>
      <c r="D2034" s="1" t="str">
        <f>"Реєстрація місця проживання особи"</f>
        <v>Реєстрація місця проживання особи</v>
      </c>
      <c r="E2034" s="1" t="str">
        <f>"Реєстрація місця проживання"</f>
        <v>Реєстрація місця проживання</v>
      </c>
      <c r="F2034" s="1" t="str">
        <f>"Відділ реєстрації Новокаховської міської ради"</f>
        <v>Відділ реєстрації Новокаховської міської ради</v>
      </c>
      <c r="G2034" s="1" t="str">
        <f t="shared" si="361"/>
        <v>1</v>
      </c>
      <c r="H2034" s="1" t="str">
        <f>"Результат"</f>
        <v>Результат</v>
      </c>
      <c r="I2034" s="1" t="str">
        <f>"Позитивний"</f>
        <v>Позитивний</v>
      </c>
      <c r="J2034" s="1" t="str">
        <f t="shared" si="362"/>
        <v>Так</v>
      </c>
    </row>
    <row r="2035" spans="1:10" ht="45" x14ac:dyDescent="0.25">
      <c r="A2035" s="1" t="str">
        <f>"2088-2020/27"</f>
        <v>2088-2020/27</v>
      </c>
      <c r="B2035" s="1" t="str">
        <f t="shared" si="360"/>
        <v>28.04.2020</v>
      </c>
      <c r="C2035" s="1" t="str">
        <f t="shared" si="358"/>
        <v>Закрито</v>
      </c>
      <c r="D2035" s="1" t="str">
        <f>"Реєстрація місця проживання особи"</f>
        <v>Реєстрація місця проживання особи</v>
      </c>
      <c r="E2035" s="1" t="str">
        <f>"Реєстрація місця проживання"</f>
        <v>Реєстрація місця проживання</v>
      </c>
      <c r="F2035" s="1" t="str">
        <f>"Відділ реєстрації Новокаховської міської ради"</f>
        <v>Відділ реєстрації Новокаховської міської ради</v>
      </c>
      <c r="G2035" s="1" t="str">
        <f t="shared" si="361"/>
        <v>1</v>
      </c>
      <c r="H2035" s="1" t="str">
        <f>"Результат"</f>
        <v>Результат</v>
      </c>
      <c r="I2035" s="1" t="str">
        <f>"Позитивний"</f>
        <v>Позитивний</v>
      </c>
      <c r="J2035" s="1" t="str">
        <f t="shared" si="362"/>
        <v>Так</v>
      </c>
    </row>
    <row r="2036" spans="1:10" ht="45" x14ac:dyDescent="0.25">
      <c r="A2036" s="1" t="str">
        <f>"2083-2020/27"</f>
        <v>2083-2020/27</v>
      </c>
      <c r="B2036" s="1" t="str">
        <f t="shared" si="360"/>
        <v>28.04.2020</v>
      </c>
      <c r="C2036" s="1" t="str">
        <f t="shared" si="358"/>
        <v>Закрито</v>
      </c>
      <c r="D2036" s="1" t="str">
        <f>"Зняття з реєстрації місця проживання"</f>
        <v>Зняття з реєстрації місця проживання</v>
      </c>
      <c r="E2036" s="1" t="str">
        <f>"Реєстрація місця проживання"</f>
        <v>Реєстрація місця проживання</v>
      </c>
      <c r="F2036" s="1" t="str">
        <f>"Відділ реєстрації Новокаховської міської ради"</f>
        <v>Відділ реєстрації Новокаховської міської ради</v>
      </c>
      <c r="G2036" s="1" t="str">
        <f t="shared" si="361"/>
        <v>1</v>
      </c>
      <c r="H2036" s="1" t="str">
        <f>"Результат"</f>
        <v>Результат</v>
      </c>
      <c r="I2036" s="1" t="str">
        <f>"Позитивний"</f>
        <v>Позитивний</v>
      </c>
      <c r="J2036" s="1" t="str">
        <f t="shared" si="362"/>
        <v>Так</v>
      </c>
    </row>
    <row r="2037" spans="1:10" ht="45" x14ac:dyDescent="0.25">
      <c r="A2037" s="1" t="str">
        <f>"2073-2020/27"</f>
        <v>2073-2020/27</v>
      </c>
      <c r="B2037" s="1" t="str">
        <f t="shared" si="360"/>
        <v>28.04.2020</v>
      </c>
      <c r="C2037" s="1" t="str">
        <f t="shared" si="358"/>
        <v>Закрито</v>
      </c>
      <c r="D2037" s="1" t="str">
        <f>"Реєстрація місця проживання особи"</f>
        <v>Реєстрація місця проживання особи</v>
      </c>
      <c r="E2037" s="1" t="str">
        <f>"Реєстрація місця проживання"</f>
        <v>Реєстрація місця проживання</v>
      </c>
      <c r="F2037" s="1" t="str">
        <f>"Відділ реєстрації Новокаховської міської ради"</f>
        <v>Відділ реєстрації Новокаховської міської ради</v>
      </c>
      <c r="G2037" s="1" t="str">
        <f t="shared" si="361"/>
        <v>1</v>
      </c>
      <c r="H2037" s="1" t="str">
        <f>"Результат"</f>
        <v>Результат</v>
      </c>
      <c r="I2037" s="1" t="str">
        <f>"Позитивний"</f>
        <v>Позитивний</v>
      </c>
      <c r="J2037" s="1" t="str">
        <f t="shared" si="362"/>
        <v>Так</v>
      </c>
    </row>
    <row r="2038" spans="1:10" ht="135" x14ac:dyDescent="0.25">
      <c r="A2038" s="1" t="str">
        <f>"2092-2020/27"</f>
        <v>2092-2020/27</v>
      </c>
      <c r="B2038" s="1" t="str">
        <f t="shared" si="360"/>
        <v>28.04.2020</v>
      </c>
      <c r="C2038" s="1" t="str">
        <f t="shared" si="358"/>
        <v>Закрито</v>
      </c>
      <c r="D203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38" s="1" t="str">
        <f>"Земельні питання"</f>
        <v>Земельні питання</v>
      </c>
      <c r="F20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38" s="1" t="str">
        <f t="shared" si="361"/>
        <v>1</v>
      </c>
      <c r="H2038" s="1" t="str">
        <f>"Результат"</f>
        <v>Результат</v>
      </c>
      <c r="I2038" s="1" t="str">
        <f>"Позитивний"</f>
        <v>Позитивний</v>
      </c>
      <c r="J2038" s="1" t="str">
        <f t="shared" si="362"/>
        <v>Так</v>
      </c>
    </row>
    <row r="2039" spans="1:10" ht="135" x14ac:dyDescent="0.25">
      <c r="A2039" s="1" t="str">
        <f>"2078-2020/27"</f>
        <v>2078-2020/27</v>
      </c>
      <c r="B2039" s="1" t="str">
        <f t="shared" si="360"/>
        <v>28.04.2020</v>
      </c>
      <c r="C2039" s="1" t="str">
        <f t="shared" si="358"/>
        <v>Закрито</v>
      </c>
      <c r="D203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39" s="1" t="str">
        <f>"Земельні питання"</f>
        <v>Земельні питання</v>
      </c>
      <c r="F203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39" s="1" t="str">
        <f>"3"</f>
        <v>3</v>
      </c>
      <c r="H2039" s="1" t="str">
        <f>"Результат"</f>
        <v>Результат</v>
      </c>
      <c r="I2039" s="1" t="str">
        <f>"Позитивний"</f>
        <v>Позитивний</v>
      </c>
      <c r="J2039" s="1" t="str">
        <f>"Ні"</f>
        <v>Ні</v>
      </c>
    </row>
    <row r="2040" spans="1:10" ht="135" x14ac:dyDescent="0.25">
      <c r="A2040" s="1" t="str">
        <f>"2095-2020/27"</f>
        <v>2095-2020/27</v>
      </c>
      <c r="B2040" s="1" t="str">
        <f t="shared" si="360"/>
        <v>28.04.2020</v>
      </c>
      <c r="C2040" s="1" t="str">
        <f t="shared" si="358"/>
        <v>Закрито</v>
      </c>
      <c r="D204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40" s="1" t="str">
        <f>"Земельні питання"</f>
        <v>Земельні питання</v>
      </c>
      <c r="F20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40" s="1" t="str">
        <f>"14"</f>
        <v>14</v>
      </c>
      <c r="H2040" s="1" t="str">
        <f>"Результат"</f>
        <v>Результат</v>
      </c>
      <c r="I2040" s="1" t="str">
        <f>"Позитивний"</f>
        <v>Позитивний</v>
      </c>
      <c r="J2040" s="1" t="str">
        <f>"Ні"</f>
        <v>Ні</v>
      </c>
    </row>
    <row r="2041" spans="1:10" ht="225" x14ac:dyDescent="0.25">
      <c r="A2041" s="1" t="str">
        <f>"2093-2020/27"</f>
        <v>2093-2020/27</v>
      </c>
      <c r="B2041" s="1" t="str">
        <f t="shared" si="360"/>
        <v>28.04.2020</v>
      </c>
      <c r="C2041" s="1" t="str">
        <f t="shared" si="358"/>
        <v>Закрито</v>
      </c>
      <c r="D2041" s="1" t="s">
        <v>1</v>
      </c>
      <c r="E2041" s="1" t="str">
        <f>"Будівництво"</f>
        <v>Будівництво</v>
      </c>
      <c r="F204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041" s="1" t="str">
        <f>"30"</f>
        <v>30</v>
      </c>
      <c r="H2041" s="1" t="str">
        <f>"Результат"</f>
        <v>Результат</v>
      </c>
      <c r="I2041" s="1" t="str">
        <f>"Позитивний"</f>
        <v>Позитивний</v>
      </c>
      <c r="J2041" s="1" t="str">
        <f>"Ні"</f>
        <v>Ні</v>
      </c>
    </row>
    <row r="2042" spans="1:10" ht="45" x14ac:dyDescent="0.25">
      <c r="A2042" s="1" t="str">
        <f>"2090-2020/27"</f>
        <v>2090-2020/27</v>
      </c>
      <c r="B2042" s="1" t="str">
        <f t="shared" si="360"/>
        <v>28.04.2020</v>
      </c>
      <c r="C2042" s="1" t="str">
        <f t="shared" si="358"/>
        <v>Закрито</v>
      </c>
      <c r="D2042" s="1" t="str">
        <f>"Реєстрація місця проживання особи"</f>
        <v>Реєстрація місця проживання особи</v>
      </c>
      <c r="E2042" s="1" t="str">
        <f>"Реєстрація місця проживання"</f>
        <v>Реєстрація місця проживання</v>
      </c>
      <c r="F2042" s="1" t="str">
        <f>"Відділ реєстрації Новокаховської міської ради"</f>
        <v>Відділ реєстрації Новокаховської міської ради</v>
      </c>
      <c r="G2042" s="1" t="str">
        <f>"1"</f>
        <v>1</v>
      </c>
      <c r="H2042" s="1" t="str">
        <f>"Результат"</f>
        <v>Результат</v>
      </c>
      <c r="I2042" s="1" t="str">
        <f>"Позитивний"</f>
        <v>Позитивний</v>
      </c>
      <c r="J2042" s="1" t="str">
        <f>"Так"</f>
        <v>Так</v>
      </c>
    </row>
    <row r="2043" spans="1:10" ht="45" x14ac:dyDescent="0.25">
      <c r="A2043" s="1" t="str">
        <f>"2081-2020/27"</f>
        <v>2081-2020/27</v>
      </c>
      <c r="B2043" s="1" t="str">
        <f t="shared" si="360"/>
        <v>28.04.2020</v>
      </c>
      <c r="C2043" s="1" t="str">
        <f t="shared" si="358"/>
        <v>Закрито</v>
      </c>
      <c r="D2043" s="1" t="str">
        <f>"Зняття з реєстрації місця проживання"</f>
        <v>Зняття з реєстрації місця проживання</v>
      </c>
      <c r="E2043" s="1" t="str">
        <f>"Реєстрація місця проживання"</f>
        <v>Реєстрація місця проживання</v>
      </c>
      <c r="F2043" s="1" t="str">
        <f>"Відділ реєстрації Новокаховської міської ради"</f>
        <v>Відділ реєстрації Новокаховської міської ради</v>
      </c>
      <c r="G2043" s="1" t="str">
        <f>"1"</f>
        <v>1</v>
      </c>
      <c r="H2043" s="1" t="str">
        <f>"Результат"</f>
        <v>Результат</v>
      </c>
      <c r="I2043" s="1" t="str">
        <f>"Позитивний"</f>
        <v>Позитивний</v>
      </c>
      <c r="J2043" s="1" t="str">
        <f>"Так"</f>
        <v>Так</v>
      </c>
    </row>
    <row r="2044" spans="1:10" ht="90" x14ac:dyDescent="0.25">
      <c r="A2044" s="1" t="str">
        <f>"2082-2020/27"</f>
        <v>2082-2020/27</v>
      </c>
      <c r="B2044" s="1" t="str">
        <f t="shared" si="360"/>
        <v>28.04.2020</v>
      </c>
      <c r="C2044" s="1" t="str">
        <f t="shared" si="358"/>
        <v>Закрито</v>
      </c>
      <c r="D20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44" s="1" t="str">
        <f>"Інші послуги"</f>
        <v>Інші послуги</v>
      </c>
      <c r="F20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44" s="1" t="str">
        <f>"5"</f>
        <v>5</v>
      </c>
      <c r="H2044" s="1" t="str">
        <f>"Результат"</f>
        <v>Результат</v>
      </c>
      <c r="I2044" s="1" t="str">
        <f>"Позитивний"</f>
        <v>Позитивний</v>
      </c>
      <c r="J2044" s="1" t="str">
        <f>"Ні"</f>
        <v>Ні</v>
      </c>
    </row>
    <row r="2045" spans="1:10" ht="120" x14ac:dyDescent="0.25">
      <c r="A2045" s="1" t="str">
        <f>"2104-2020/27"</f>
        <v>2104-2020/27</v>
      </c>
      <c r="B2045" s="1" t="str">
        <f t="shared" si="360"/>
        <v>28.04.2020</v>
      </c>
      <c r="C2045" s="1" t="str">
        <f t="shared" si="358"/>
        <v>Закрито</v>
      </c>
      <c r="D204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045" s="1" t="str">
        <f>"Будівництво"</f>
        <v>Будівництво</v>
      </c>
      <c r="F204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045" s="1" t="str">
        <f>"10"</f>
        <v>10</v>
      </c>
      <c r="H2045" s="1" t="str">
        <f>"Результат"</f>
        <v>Результат</v>
      </c>
      <c r="I2045" s="1" t="str">
        <f>"Позитивний"</f>
        <v>Позитивний</v>
      </c>
      <c r="J2045" s="1" t="str">
        <f>"Ні"</f>
        <v>Ні</v>
      </c>
    </row>
    <row r="2046" spans="1:10" ht="135" x14ac:dyDescent="0.25">
      <c r="A2046" s="1" t="str">
        <f>"2102-2020/27"</f>
        <v>2102-2020/27</v>
      </c>
      <c r="B2046" s="1" t="str">
        <f t="shared" si="360"/>
        <v>28.04.2020</v>
      </c>
      <c r="C2046" s="1" t="str">
        <f t="shared" si="358"/>
        <v>Закрито</v>
      </c>
      <c r="D204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46" s="1" t="str">
        <f>"Земельні питання"</f>
        <v>Земельні питання</v>
      </c>
      <c r="F20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46" s="1" t="str">
        <f>"3"</f>
        <v>3</v>
      </c>
      <c r="H2046" s="1" t="str">
        <f>"Результат"</f>
        <v>Результат</v>
      </c>
      <c r="I2046" s="1" t="str">
        <f>"Позитивний"</f>
        <v>Позитивний</v>
      </c>
      <c r="J2046" s="1" t="str">
        <f>"Ні"</f>
        <v>Ні</v>
      </c>
    </row>
    <row r="2047" spans="1:10" ht="45" x14ac:dyDescent="0.25">
      <c r="A2047" s="1" t="str">
        <f>"2070-2020/27"</f>
        <v>2070-2020/27</v>
      </c>
      <c r="B2047" s="1" t="str">
        <f t="shared" si="360"/>
        <v>28.04.2020</v>
      </c>
      <c r="C2047" s="1" t="str">
        <f t="shared" si="358"/>
        <v>Закрито</v>
      </c>
      <c r="D2047" s="1" t="str">
        <f>"Реєстрація місця проживання особи"</f>
        <v>Реєстрація місця проживання особи</v>
      </c>
      <c r="E2047" s="1" t="str">
        <f>"Реєстрація місця проживання"</f>
        <v>Реєстрація місця проживання</v>
      </c>
      <c r="F2047" s="1" t="str">
        <f>"Відділ реєстрації Новокаховської міської ради"</f>
        <v>Відділ реєстрації Новокаховської міської ради</v>
      </c>
      <c r="G2047" s="1" t="str">
        <f>"1"</f>
        <v>1</v>
      </c>
      <c r="H2047" s="1" t="str">
        <f>"Результат"</f>
        <v>Результат</v>
      </c>
      <c r="I2047" s="1" t="str">
        <f>"Позитивний"</f>
        <v>Позитивний</v>
      </c>
      <c r="J2047" s="1" t="str">
        <f>"Так"</f>
        <v>Так</v>
      </c>
    </row>
    <row r="2048" spans="1:10" ht="135" x14ac:dyDescent="0.25">
      <c r="A2048" s="1" t="str">
        <f>"2098-2020/27"</f>
        <v>2098-2020/27</v>
      </c>
      <c r="B2048" s="1" t="str">
        <f t="shared" si="360"/>
        <v>28.04.2020</v>
      </c>
      <c r="C2048" s="1" t="str">
        <f t="shared" si="358"/>
        <v>Закрито</v>
      </c>
      <c r="D204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48" s="1" t="str">
        <f>"Земельні питання"</f>
        <v>Земельні питання</v>
      </c>
      <c r="F20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48" s="1" t="str">
        <f>"3"</f>
        <v>3</v>
      </c>
      <c r="H2048" s="1" t="str">
        <f>"Результат"</f>
        <v>Результат</v>
      </c>
      <c r="I2048" s="1" t="str">
        <f>"Позитивний"</f>
        <v>Позитивний</v>
      </c>
      <c r="J2048" s="1" t="str">
        <f>"Ні"</f>
        <v>Ні</v>
      </c>
    </row>
    <row r="2049" spans="1:10" ht="135" x14ac:dyDescent="0.25">
      <c r="A2049" s="1" t="str">
        <f>"2080-2020/27"</f>
        <v>2080-2020/27</v>
      </c>
      <c r="B2049" s="1" t="str">
        <f t="shared" si="360"/>
        <v>28.04.2020</v>
      </c>
      <c r="C2049" s="1" t="str">
        <f t="shared" si="358"/>
        <v>Закрито</v>
      </c>
      <c r="D204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49" s="1" t="str">
        <f>"Земельні питання"</f>
        <v>Земельні питання</v>
      </c>
      <c r="F20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49" s="1" t="str">
        <f>"3"</f>
        <v>3</v>
      </c>
      <c r="H2049" s="1" t="str">
        <f>"Результат"</f>
        <v>Результат</v>
      </c>
      <c r="I2049" s="1" t="str">
        <f>"Позитивний"</f>
        <v>Позитивний</v>
      </c>
      <c r="J2049" s="1" t="str">
        <f>"Ні"</f>
        <v>Ні</v>
      </c>
    </row>
    <row r="2050" spans="1:10" ht="135" x14ac:dyDescent="0.25">
      <c r="A2050" s="1" t="str">
        <f>"2091-2020/27"</f>
        <v>2091-2020/27</v>
      </c>
      <c r="B2050" s="1" t="str">
        <f t="shared" si="360"/>
        <v>28.04.2020</v>
      </c>
      <c r="C2050" s="1" t="str">
        <f t="shared" si="358"/>
        <v>Закрито</v>
      </c>
      <c r="D205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50" s="1" t="str">
        <f>"Земельні питання"</f>
        <v>Земельні питання</v>
      </c>
      <c r="F20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50" s="1" t="str">
        <f>"1"</f>
        <v>1</v>
      </c>
      <c r="H2050" s="1" t="str">
        <f>"Результат"</f>
        <v>Результат</v>
      </c>
      <c r="I2050" s="1" t="str">
        <f>"Позитивний"</f>
        <v>Позитивний</v>
      </c>
      <c r="J2050" s="1" t="str">
        <f>"Так"</f>
        <v>Так</v>
      </c>
    </row>
    <row r="2051" spans="1:10" ht="45" x14ac:dyDescent="0.25">
      <c r="A2051" s="1" t="str">
        <f>"2084-2020/27"</f>
        <v>2084-2020/27</v>
      </c>
      <c r="B2051" s="1" t="str">
        <f t="shared" si="360"/>
        <v>28.04.2020</v>
      </c>
      <c r="C2051" s="1" t="str">
        <f t="shared" si="358"/>
        <v>Закрито</v>
      </c>
      <c r="D2051" s="1" t="str">
        <f>"Зняття з реєстрації місця проживання"</f>
        <v>Зняття з реєстрації місця проживання</v>
      </c>
      <c r="E2051" s="1" t="str">
        <f>"Реєстрація місця проживання"</f>
        <v>Реєстрація місця проживання</v>
      </c>
      <c r="F2051" s="1" t="str">
        <f>"Відділ реєстрації Новокаховської міської ради"</f>
        <v>Відділ реєстрації Новокаховської міської ради</v>
      </c>
      <c r="G2051" s="1" t="str">
        <f>"1"</f>
        <v>1</v>
      </c>
      <c r="H2051" s="1" t="str">
        <f>"Результат"</f>
        <v>Результат</v>
      </c>
      <c r="I2051" s="1" t="str">
        <f>"Позитивний"</f>
        <v>Позитивний</v>
      </c>
      <c r="J2051" s="1" t="str">
        <f>"Так"</f>
        <v>Так</v>
      </c>
    </row>
    <row r="2052" spans="1:10" ht="135" x14ac:dyDescent="0.25">
      <c r="A2052" s="1" t="str">
        <f>"2075-2020/27"</f>
        <v>2075-2020/27</v>
      </c>
      <c r="B2052" s="1" t="str">
        <f t="shared" si="360"/>
        <v>28.04.2020</v>
      </c>
      <c r="C2052" s="1" t="str">
        <f t="shared" si="358"/>
        <v>Закрито</v>
      </c>
      <c r="D20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52" s="1" t="str">
        <f>"Земельні питання"</f>
        <v>Земельні питання</v>
      </c>
      <c r="F20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52" s="1" t="str">
        <f>"1"</f>
        <v>1</v>
      </c>
      <c r="H2052" s="1" t="str">
        <f>"Результат"</f>
        <v>Результат</v>
      </c>
      <c r="I2052" s="1" t="str">
        <f>"Позитивний"</f>
        <v>Позитивний</v>
      </c>
      <c r="J2052" s="1" t="str">
        <f>"Так"</f>
        <v>Так</v>
      </c>
    </row>
    <row r="2053" spans="1:10" ht="135" x14ac:dyDescent="0.25">
      <c r="A2053" s="1" t="str">
        <f>"2094-2020/27"</f>
        <v>2094-2020/27</v>
      </c>
      <c r="B2053" s="1" t="str">
        <f t="shared" si="360"/>
        <v>28.04.2020</v>
      </c>
      <c r="C2053" s="1" t="str">
        <f t="shared" si="358"/>
        <v>Закрито</v>
      </c>
      <c r="D205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53" s="1" t="str">
        <f>"Земельні питання"</f>
        <v>Земельні питання</v>
      </c>
      <c r="F20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53" s="1" t="str">
        <f>"1"</f>
        <v>1</v>
      </c>
      <c r="H2053" s="1" t="str">
        <f>"Результат"</f>
        <v>Результат</v>
      </c>
      <c r="I2053" s="1" t="str">
        <f>"Позитивний"</f>
        <v>Позитивний</v>
      </c>
      <c r="J2053" s="1" t="str">
        <f>"Так"</f>
        <v>Так</v>
      </c>
    </row>
    <row r="2054" spans="1:10" ht="45" x14ac:dyDescent="0.25">
      <c r="A2054" s="1" t="str">
        <f>"2089-2020/27"</f>
        <v>2089-2020/27</v>
      </c>
      <c r="B2054" s="1" t="str">
        <f t="shared" si="360"/>
        <v>28.04.2020</v>
      </c>
      <c r="C2054" s="1" t="str">
        <f t="shared" si="358"/>
        <v>Закрито</v>
      </c>
      <c r="D2054" s="1" t="str">
        <f>"Реєстрація місця проживання особи"</f>
        <v>Реєстрація місця проживання особи</v>
      </c>
      <c r="E2054" s="1" t="str">
        <f>"Реєстрація місця проживання"</f>
        <v>Реєстрація місця проживання</v>
      </c>
      <c r="F2054" s="1" t="str">
        <f>"Відділ реєстрації Новокаховської міської ради"</f>
        <v>Відділ реєстрації Новокаховської міської ради</v>
      </c>
      <c r="G2054" s="1" t="str">
        <f>"1"</f>
        <v>1</v>
      </c>
      <c r="H2054" s="1" t="str">
        <f>"Результат"</f>
        <v>Результат</v>
      </c>
      <c r="I2054" s="1" t="str">
        <f>"Позитивний"</f>
        <v>Позитивний</v>
      </c>
      <c r="J2054" s="1" t="str">
        <f>"Так"</f>
        <v>Так</v>
      </c>
    </row>
    <row r="2055" spans="1:10" ht="135" x14ac:dyDescent="0.25">
      <c r="A2055" s="1" t="str">
        <f>"2101-2020/27"</f>
        <v>2101-2020/27</v>
      </c>
      <c r="B2055" s="1" t="str">
        <f t="shared" si="360"/>
        <v>28.04.2020</v>
      </c>
      <c r="C2055" s="1" t="str">
        <f t="shared" si="358"/>
        <v>Закрито</v>
      </c>
      <c r="D205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55" s="1" t="str">
        <f>"Земельні питання"</f>
        <v>Земельні питання</v>
      </c>
      <c r="F20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55" s="1" t="str">
        <f>"3"</f>
        <v>3</v>
      </c>
      <c r="H2055" s="1" t="str">
        <f>"Результат"</f>
        <v>Результат</v>
      </c>
      <c r="I2055" s="1" t="str">
        <f>"Позитивний"</f>
        <v>Позитивний</v>
      </c>
      <c r="J2055" s="1" t="str">
        <f>"Ні"</f>
        <v>Ні</v>
      </c>
    </row>
    <row r="2056" spans="1:10" ht="135" x14ac:dyDescent="0.25">
      <c r="A2056" s="1" t="str">
        <f>"2077-2020/27"</f>
        <v>2077-2020/27</v>
      </c>
      <c r="B2056" s="1" t="str">
        <f t="shared" si="360"/>
        <v>28.04.2020</v>
      </c>
      <c r="C2056" s="1" t="str">
        <f t="shared" si="358"/>
        <v>Закрито</v>
      </c>
      <c r="D2056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056" s="1" t="str">
        <f>"Земельні питання"</f>
        <v>Земельні питання</v>
      </c>
      <c r="F20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56" s="1" t="str">
        <f>"14"</f>
        <v>14</v>
      </c>
      <c r="H2056" s="1" t="str">
        <f>"Результат"</f>
        <v>Результат</v>
      </c>
      <c r="I2056" s="1" t="str">
        <f>"Позитивний"</f>
        <v>Позитивний</v>
      </c>
      <c r="J2056" s="1" t="str">
        <f>"Ні"</f>
        <v>Ні</v>
      </c>
    </row>
    <row r="2057" spans="1:10" ht="45" x14ac:dyDescent="0.25">
      <c r="A2057" s="1" t="str">
        <f>"2087-2020/27"</f>
        <v>2087-2020/27</v>
      </c>
      <c r="B2057" s="1" t="str">
        <f t="shared" si="360"/>
        <v>28.04.2020</v>
      </c>
      <c r="C2057" s="1" t="str">
        <f t="shared" si="358"/>
        <v>Закрито</v>
      </c>
      <c r="D2057" s="1" t="str">
        <f>"Реєстрація місця проживання особи"</f>
        <v>Реєстрація місця проживання особи</v>
      </c>
      <c r="E2057" s="1" t="str">
        <f>"Реєстрація місця проживання"</f>
        <v>Реєстрація місця проживання</v>
      </c>
      <c r="F2057" s="1" t="str">
        <f>"Відділ реєстрації Новокаховської міської ради"</f>
        <v>Відділ реєстрації Новокаховської міської ради</v>
      </c>
      <c r="G2057" s="1" t="str">
        <f>"1"</f>
        <v>1</v>
      </c>
      <c r="H2057" s="1" t="str">
        <f>"Результат"</f>
        <v>Результат</v>
      </c>
      <c r="I2057" s="1" t="str">
        <f>"Позитивний"</f>
        <v>Позитивний</v>
      </c>
      <c r="J2057" s="1" t="str">
        <f>"Так"</f>
        <v>Так</v>
      </c>
    </row>
    <row r="2058" spans="1:10" ht="105" x14ac:dyDescent="0.25">
      <c r="A2058" s="1" t="str">
        <f>"2103-2020/27"</f>
        <v>2103-2020/27</v>
      </c>
      <c r="B2058" s="1" t="str">
        <f t="shared" si="360"/>
        <v>28.04.2020</v>
      </c>
      <c r="C2058" s="1" t="str">
        <f t="shared" si="358"/>
        <v>Закрито</v>
      </c>
      <c r="D20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58" s="1" t="str">
        <f>"Земельні питання"</f>
        <v>Земельні питання</v>
      </c>
      <c r="F205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058" s="1" t="str">
        <f>"1"</f>
        <v>1</v>
      </c>
      <c r="H2058" s="1" t="str">
        <f>"Результат"</f>
        <v>Результат</v>
      </c>
      <c r="I2058" s="1" t="str">
        <f>"Позитивний"</f>
        <v>Позитивний</v>
      </c>
      <c r="J2058" s="1" t="str">
        <f>"Так"</f>
        <v>Так</v>
      </c>
    </row>
    <row r="2059" spans="1:10" ht="135" x14ac:dyDescent="0.25">
      <c r="A2059" s="1" t="str">
        <f>"2079-2020/27"</f>
        <v>2079-2020/27</v>
      </c>
      <c r="B2059" s="1" t="str">
        <f t="shared" si="360"/>
        <v>28.04.2020</v>
      </c>
      <c r="C2059" s="1" t="str">
        <f t="shared" si="358"/>
        <v>Закрито</v>
      </c>
      <c r="D205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59" s="1" t="str">
        <f>"Земельні питання"</f>
        <v>Земельні питання</v>
      </c>
      <c r="F20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59" s="1" t="str">
        <f>"3"</f>
        <v>3</v>
      </c>
      <c r="H2059" s="1" t="str">
        <f>"Результат"</f>
        <v>Результат</v>
      </c>
      <c r="I2059" s="1" t="str">
        <f>"Позитивний"</f>
        <v>Позитивний</v>
      </c>
      <c r="J2059" s="1" t="str">
        <f>"Ні"</f>
        <v>Ні</v>
      </c>
    </row>
    <row r="2060" spans="1:10" ht="90" x14ac:dyDescent="0.25">
      <c r="A2060" s="1" t="str">
        <f>"2086-2020/27"</f>
        <v>2086-2020/27</v>
      </c>
      <c r="B2060" s="1" t="str">
        <f t="shared" si="360"/>
        <v>28.04.2020</v>
      </c>
      <c r="C2060" s="1" t="str">
        <f t="shared" si="358"/>
        <v>Закрито</v>
      </c>
      <c r="D206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60" s="1" t="str">
        <f>"Інші послуги"</f>
        <v>Інші послуги</v>
      </c>
      <c r="F206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60" s="1" t="str">
        <f>"5"</f>
        <v>5</v>
      </c>
      <c r="H2060" s="1" t="str">
        <f>"Результат"</f>
        <v>Результат</v>
      </c>
      <c r="I2060" s="1" t="str">
        <f>"Позитивний"</f>
        <v>Позитивний</v>
      </c>
      <c r="J2060" s="1" t="str">
        <f>"Ні"</f>
        <v>Ні</v>
      </c>
    </row>
    <row r="2061" spans="1:10" ht="135" x14ac:dyDescent="0.25">
      <c r="A2061" s="1" t="str">
        <f>"2076-2020/27"</f>
        <v>2076-2020/27</v>
      </c>
      <c r="B2061" s="1" t="str">
        <f t="shared" si="360"/>
        <v>28.04.2020</v>
      </c>
      <c r="C2061" s="1" t="str">
        <f t="shared" si="358"/>
        <v>Закрито</v>
      </c>
      <c r="D206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061" s="1" t="str">
        <f>"Земельні питання"</f>
        <v>Земельні питання</v>
      </c>
      <c r="F20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61" s="1" t="str">
        <f>"14"</f>
        <v>14</v>
      </c>
      <c r="H2061" s="1" t="str">
        <f>"Результат"</f>
        <v>Результат</v>
      </c>
      <c r="I2061" s="1" t="str">
        <f>"Позитивний"</f>
        <v>Позитивний</v>
      </c>
      <c r="J2061" s="1" t="str">
        <f>"Ні"</f>
        <v>Ні</v>
      </c>
    </row>
    <row r="2062" spans="1:10" ht="135" x14ac:dyDescent="0.25">
      <c r="A2062" s="1" t="str">
        <f>"2096-2020/27"</f>
        <v>2096-2020/27</v>
      </c>
      <c r="B2062" s="1" t="str">
        <f t="shared" si="360"/>
        <v>28.04.2020</v>
      </c>
      <c r="C2062" s="1" t="str">
        <f t="shared" si="358"/>
        <v>Закрито</v>
      </c>
      <c r="D2062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062" s="1" t="str">
        <f>"Земельні питання"</f>
        <v>Земельні питання</v>
      </c>
      <c r="F20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62" s="1" t="str">
        <f>"14"</f>
        <v>14</v>
      </c>
      <c r="H2062" s="1" t="str">
        <f>"Результат"</f>
        <v>Результат</v>
      </c>
      <c r="I2062" s="1" t="str">
        <f>"Позитивний"</f>
        <v>Позитивний</v>
      </c>
      <c r="J2062" s="1" t="str">
        <f>"Ні"</f>
        <v>Ні</v>
      </c>
    </row>
    <row r="2063" spans="1:10" ht="135" x14ac:dyDescent="0.25">
      <c r="A2063" s="1" t="str">
        <f>"2099-2020/27"</f>
        <v>2099-2020/27</v>
      </c>
      <c r="B2063" s="1" t="str">
        <f t="shared" si="360"/>
        <v>28.04.2020</v>
      </c>
      <c r="C2063" s="1" t="str">
        <f t="shared" si="358"/>
        <v>Закрито</v>
      </c>
      <c r="D206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63" s="1" t="str">
        <f>"Земельні питання"</f>
        <v>Земельні питання</v>
      </c>
      <c r="F20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63" s="1" t="str">
        <f>"3"</f>
        <v>3</v>
      </c>
      <c r="H2063" s="1" t="str">
        <f>"Результат"</f>
        <v>Результат</v>
      </c>
      <c r="I2063" s="1" t="str">
        <f>"Позитивний"</f>
        <v>Позитивний</v>
      </c>
      <c r="J2063" s="1" t="str">
        <f>"Ні"</f>
        <v>Ні</v>
      </c>
    </row>
    <row r="2064" spans="1:10" ht="45" x14ac:dyDescent="0.25">
      <c r="A2064" s="1" t="str">
        <f>"2074-2020/27"</f>
        <v>2074-2020/27</v>
      </c>
      <c r="B2064" s="1" t="str">
        <f t="shared" si="360"/>
        <v>28.04.2020</v>
      </c>
      <c r="C2064" s="1" t="str">
        <f t="shared" si="358"/>
        <v>Закрито</v>
      </c>
      <c r="D2064" s="1" t="str">
        <f>"Реєстрація місця проживання особи"</f>
        <v>Реєстрація місця проживання особи</v>
      </c>
      <c r="E2064" s="1" t="str">
        <f>"Реєстрація місця проживання"</f>
        <v>Реєстрація місця проживання</v>
      </c>
      <c r="F2064" s="1" t="str">
        <f>"Відділ реєстрації Новокаховської міської ради"</f>
        <v>Відділ реєстрації Новокаховської міської ради</v>
      </c>
      <c r="G2064" s="1" t="str">
        <f>"1"</f>
        <v>1</v>
      </c>
      <c r="H2064" s="1" t="str">
        <f>"Результат"</f>
        <v>Результат</v>
      </c>
      <c r="I2064" s="1" t="str">
        <f>"Позитивний"</f>
        <v>Позитивний</v>
      </c>
      <c r="J2064" s="1" t="str">
        <f>"Так"</f>
        <v>Так</v>
      </c>
    </row>
    <row r="2065" spans="1:10" ht="135" x14ac:dyDescent="0.25">
      <c r="A2065" s="1" t="str">
        <f>"2111-2020/27"</f>
        <v>2111-2020/27</v>
      </c>
      <c r="B2065" s="1" t="str">
        <f t="shared" ref="B2065:B2080" si="363">"29.04.2020"</f>
        <v>29.04.2020</v>
      </c>
      <c r="C2065" s="1" t="str">
        <f t="shared" si="358"/>
        <v>Закрито</v>
      </c>
      <c r="D206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65" s="1" t="str">
        <f>"Земельні питання"</f>
        <v>Земельні питання</v>
      </c>
      <c r="F20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65" s="1" t="str">
        <f>"3"</f>
        <v>3</v>
      </c>
      <c r="H2065" s="1" t="str">
        <f>"Результат"</f>
        <v>Результат</v>
      </c>
      <c r="I2065" s="1" t="str">
        <f>"Позитивний"</f>
        <v>Позитивний</v>
      </c>
      <c r="J2065" s="1" t="str">
        <f>"Ні"</f>
        <v>Ні</v>
      </c>
    </row>
    <row r="2066" spans="1:10" ht="225" x14ac:dyDescent="0.25">
      <c r="A2066" s="1" t="str">
        <f>"2116-2020/27"</f>
        <v>2116-2020/27</v>
      </c>
      <c r="B2066" s="1" t="str">
        <f t="shared" si="363"/>
        <v>29.04.2020</v>
      </c>
      <c r="C2066" s="1" t="str">
        <f t="shared" si="358"/>
        <v>Закрито</v>
      </c>
      <c r="D2066" s="1" t="s">
        <v>2</v>
      </c>
      <c r="E2066" s="1" t="str">
        <f>"Будівництво"</f>
        <v>Будівництво</v>
      </c>
      <c r="F206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066" s="1" t="str">
        <f>"30"</f>
        <v>30</v>
      </c>
      <c r="H2066" s="1" t="str">
        <f>"Результат"</f>
        <v>Результат</v>
      </c>
      <c r="I2066" s="1" t="str">
        <f>"Позитивний"</f>
        <v>Позитивний</v>
      </c>
      <c r="J2066" s="1" t="str">
        <f>"Ні"</f>
        <v>Ні</v>
      </c>
    </row>
    <row r="2067" spans="1:10" ht="45" x14ac:dyDescent="0.25">
      <c r="A2067" s="1" t="str">
        <f>"2109-2020/27"</f>
        <v>2109-2020/27</v>
      </c>
      <c r="B2067" s="1" t="str">
        <f t="shared" si="363"/>
        <v>29.04.2020</v>
      </c>
      <c r="C2067" s="1" t="str">
        <f t="shared" si="358"/>
        <v>Закрито</v>
      </c>
      <c r="D2067" s="1" t="str">
        <f>"Зняття з реєстрації місця проживання"</f>
        <v>Зняття з реєстрації місця проживання</v>
      </c>
      <c r="E2067" s="1" t="str">
        <f>"Реєстрація місця проживання"</f>
        <v>Реєстрація місця проживання</v>
      </c>
      <c r="F2067" s="1" t="str">
        <f>"Відділ реєстрації Новокаховської міської ради"</f>
        <v>Відділ реєстрації Новокаховської міської ради</v>
      </c>
      <c r="G2067" s="1" t="str">
        <f>"1"</f>
        <v>1</v>
      </c>
      <c r="H2067" s="1" t="str">
        <f>"Результат"</f>
        <v>Результат</v>
      </c>
      <c r="I2067" s="1" t="str">
        <f>"Позитивний"</f>
        <v>Позитивний</v>
      </c>
      <c r="J2067" s="1" t="str">
        <f>"Так"</f>
        <v>Так</v>
      </c>
    </row>
    <row r="2068" spans="1:10" ht="45" x14ac:dyDescent="0.25">
      <c r="A2068" s="1" t="str">
        <f>"2115-2020/27"</f>
        <v>2115-2020/27</v>
      </c>
      <c r="B2068" s="1" t="str">
        <f t="shared" si="363"/>
        <v>29.04.2020</v>
      </c>
      <c r="C2068" s="1" t="str">
        <f t="shared" si="358"/>
        <v>Закрито</v>
      </c>
      <c r="D2068" s="1" t="str">
        <f>"Зняття з реєстрації місця проживання"</f>
        <v>Зняття з реєстрації місця проживання</v>
      </c>
      <c r="E2068" s="1" t="str">
        <f>"Реєстрація місця проживання"</f>
        <v>Реєстрація місця проживання</v>
      </c>
      <c r="F2068" s="1" t="str">
        <f>"Відділ реєстрації Новокаховської міської ради"</f>
        <v>Відділ реєстрації Новокаховської міської ради</v>
      </c>
      <c r="G2068" s="1" t="str">
        <f>"1"</f>
        <v>1</v>
      </c>
      <c r="H2068" s="1" t="str">
        <f>"Результат"</f>
        <v>Результат</v>
      </c>
      <c r="I2068" s="1" t="str">
        <f>"Позитивний"</f>
        <v>Позитивний</v>
      </c>
      <c r="J2068" s="1" t="str">
        <f>"Так"</f>
        <v>Так</v>
      </c>
    </row>
    <row r="2069" spans="1:10" ht="90" x14ac:dyDescent="0.25">
      <c r="A2069" s="1" t="str">
        <f>"2110-2020/27"</f>
        <v>2110-2020/27</v>
      </c>
      <c r="B2069" s="1" t="str">
        <f t="shared" si="363"/>
        <v>29.04.2020</v>
      </c>
      <c r="C2069" s="1" t="str">
        <f t="shared" si="358"/>
        <v>Закрито</v>
      </c>
      <c r="D206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069" s="1" t="str">
        <f>"Інші послуги"</f>
        <v>Інші послуги</v>
      </c>
      <c r="F206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069" s="1" t="str">
        <f>"5"</f>
        <v>5</v>
      </c>
      <c r="H2069" s="1" t="str">
        <f>"Результат"</f>
        <v>Результат</v>
      </c>
      <c r="I2069" s="1" t="str">
        <f>"Позитивний"</f>
        <v>Позитивний</v>
      </c>
      <c r="J2069" s="1" t="str">
        <f>"Ні"</f>
        <v>Ні</v>
      </c>
    </row>
    <row r="2070" spans="1:10" ht="135" x14ac:dyDescent="0.25">
      <c r="A2070" s="1" t="str">
        <f>"2118-2020/27"</f>
        <v>2118-2020/27</v>
      </c>
      <c r="B2070" s="1" t="str">
        <f t="shared" si="363"/>
        <v>29.04.2020</v>
      </c>
      <c r="C2070" s="1" t="str">
        <f t="shared" si="358"/>
        <v>Закрито</v>
      </c>
      <c r="D20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70" s="1" t="str">
        <f>"Земельні питання"</f>
        <v>Земельні питання</v>
      </c>
      <c r="F20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70" s="1" t="str">
        <f>"1"</f>
        <v>1</v>
      </c>
      <c r="H2070" s="1" t="str">
        <f>"Результат"</f>
        <v>Результат</v>
      </c>
      <c r="I2070" s="1" t="str">
        <f>"Позитивний"</f>
        <v>Позитивний</v>
      </c>
      <c r="J2070" s="1" t="str">
        <f>"Ні"</f>
        <v>Ні</v>
      </c>
    </row>
    <row r="2071" spans="1:10" ht="45" x14ac:dyDescent="0.25">
      <c r="A2071" s="1" t="str">
        <f>"2117-2020/27"</f>
        <v>2117-2020/27</v>
      </c>
      <c r="B2071" s="1" t="str">
        <f t="shared" si="363"/>
        <v>29.04.2020</v>
      </c>
      <c r="C2071" s="1" t="str">
        <f t="shared" si="358"/>
        <v>Закрито</v>
      </c>
      <c r="D2071" s="1" t="str">
        <f>"Зняття з реєстрації місця проживання"</f>
        <v>Зняття з реєстрації місця проживання</v>
      </c>
      <c r="E2071" s="1" t="str">
        <f>"Реєстрація місця проживання"</f>
        <v>Реєстрація місця проживання</v>
      </c>
      <c r="F2071" s="1" t="str">
        <f>"Відділ реєстрації Новокаховської міської ради"</f>
        <v>Відділ реєстрації Новокаховської міської ради</v>
      </c>
      <c r="G2071" s="1" t="str">
        <f>"1"</f>
        <v>1</v>
      </c>
      <c r="H2071" s="1" t="str">
        <f>"Результат"</f>
        <v>Результат</v>
      </c>
      <c r="I2071" s="1" t="str">
        <f>"Позитивний"</f>
        <v>Позитивний</v>
      </c>
      <c r="J2071" s="1" t="str">
        <f>"Так"</f>
        <v>Так</v>
      </c>
    </row>
    <row r="2072" spans="1:10" ht="135" x14ac:dyDescent="0.25">
      <c r="A2072" s="1" t="str">
        <f>"2119-2020/27"</f>
        <v>2119-2020/27</v>
      </c>
      <c r="B2072" s="1" t="str">
        <f t="shared" si="363"/>
        <v>29.04.2020</v>
      </c>
      <c r="C2072" s="1" t="str">
        <f t="shared" si="358"/>
        <v>Закрито</v>
      </c>
      <c r="D207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072" s="1" t="str">
        <f>"Земельні питання"</f>
        <v>Земельні питання</v>
      </c>
      <c r="F20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72" s="1" t="str">
        <f>"14"</f>
        <v>14</v>
      </c>
      <c r="H2072" s="1" t="str">
        <f>"Результат"</f>
        <v>Результат</v>
      </c>
      <c r="I2072" s="1" t="str">
        <f>"Позитивний"</f>
        <v>Позитивний</v>
      </c>
      <c r="J2072" s="1" t="str">
        <f>"Ні"</f>
        <v>Ні</v>
      </c>
    </row>
    <row r="2073" spans="1:10" ht="45" x14ac:dyDescent="0.25">
      <c r="A2073" s="1" t="str">
        <f>"2107-2020/27"</f>
        <v>2107-2020/27</v>
      </c>
      <c r="B2073" s="1" t="str">
        <f t="shared" si="363"/>
        <v>29.04.2020</v>
      </c>
      <c r="C2073" s="1" t="str">
        <f t="shared" si="358"/>
        <v>Закрито</v>
      </c>
      <c r="D2073" s="1" t="str">
        <f>"Реєстрація місця проживання особи"</f>
        <v>Реєстрація місця проживання особи</v>
      </c>
      <c r="E2073" s="1" t="str">
        <f>"Реєстрація місця проживання"</f>
        <v>Реєстрація місця проживання</v>
      </c>
      <c r="F2073" s="1" t="str">
        <f>"Відділ реєстрації Новокаховської міської ради"</f>
        <v>Відділ реєстрації Новокаховської міської ради</v>
      </c>
      <c r="G2073" s="1" t="str">
        <f>"1"</f>
        <v>1</v>
      </c>
      <c r="H2073" s="1" t="str">
        <f>"Результат"</f>
        <v>Результат</v>
      </c>
      <c r="I2073" s="1" t="str">
        <f>"Позитивний"</f>
        <v>Позитивний</v>
      </c>
      <c r="J2073" s="1" t="str">
        <f>"Так"</f>
        <v>Так</v>
      </c>
    </row>
    <row r="2074" spans="1:10" ht="135" x14ac:dyDescent="0.25">
      <c r="A2074" s="1" t="str">
        <f>"2108-2020/27"</f>
        <v>2108-2020/27</v>
      </c>
      <c r="B2074" s="1" t="str">
        <f t="shared" si="363"/>
        <v>29.04.2020</v>
      </c>
      <c r="C2074" s="1" t="str">
        <f t="shared" si="358"/>
        <v>Закрито</v>
      </c>
      <c r="D207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74" s="1" t="str">
        <f>"Земельні питання"</f>
        <v>Земельні питання</v>
      </c>
      <c r="F20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74" s="1" t="str">
        <f>"3"</f>
        <v>3</v>
      </c>
      <c r="H2074" s="1" t="str">
        <f>"Результат"</f>
        <v>Результат</v>
      </c>
      <c r="I2074" s="1" t="str">
        <f>"Позитивний"</f>
        <v>Позитивний</v>
      </c>
      <c r="J2074" s="1" t="str">
        <f>"Ні"</f>
        <v>Ні</v>
      </c>
    </row>
    <row r="2075" spans="1:10" ht="45" x14ac:dyDescent="0.25">
      <c r="A2075" s="1" t="str">
        <f>"2112-2020/27"</f>
        <v>2112-2020/27</v>
      </c>
      <c r="B2075" s="1" t="str">
        <f t="shared" si="363"/>
        <v>29.04.2020</v>
      </c>
      <c r="C2075" s="1" t="str">
        <f t="shared" si="358"/>
        <v>Закрито</v>
      </c>
      <c r="D2075" s="1" t="str">
        <f>"Реєстрація місця проживання особи"</f>
        <v>Реєстрація місця проживання особи</v>
      </c>
      <c r="E2075" s="1" t="str">
        <f t="shared" ref="E2075:E2080" si="364">"Реєстрація місця проживання"</f>
        <v>Реєстрація місця проживання</v>
      </c>
      <c r="F2075" s="1" t="str">
        <f t="shared" ref="F2075:F2080" si="365">"Відділ реєстрації Новокаховської міської ради"</f>
        <v>Відділ реєстрації Новокаховської міської ради</v>
      </c>
      <c r="G2075" s="1" t="str">
        <f t="shared" ref="G2075:G2081" si="366">"1"</f>
        <v>1</v>
      </c>
      <c r="H2075" s="1" t="str">
        <f>"Результат"</f>
        <v>Результат</v>
      </c>
      <c r="I2075" s="1" t="str">
        <f>"Позитивний"</f>
        <v>Позитивний</v>
      </c>
      <c r="J2075" s="1" t="str">
        <f t="shared" ref="J2075:J2081" si="367">"Так"</f>
        <v>Так</v>
      </c>
    </row>
    <row r="2076" spans="1:10" ht="45" x14ac:dyDescent="0.25">
      <c r="A2076" s="1" t="str">
        <f>"2120-2020/27"</f>
        <v>2120-2020/27</v>
      </c>
      <c r="B2076" s="1" t="str">
        <f t="shared" si="363"/>
        <v>29.04.2020</v>
      </c>
      <c r="C2076" s="1" t="str">
        <f t="shared" si="358"/>
        <v>Закрито</v>
      </c>
      <c r="D2076" s="1" t="str">
        <f>"Реєстрація місця проживання особи"</f>
        <v>Реєстрація місця проживання особи</v>
      </c>
      <c r="E2076" s="1" t="str">
        <f t="shared" si="364"/>
        <v>Реєстрація місця проживання</v>
      </c>
      <c r="F2076" s="1" t="str">
        <f t="shared" si="365"/>
        <v>Відділ реєстрації Новокаховської міської ради</v>
      </c>
      <c r="G2076" s="1" t="str">
        <f t="shared" si="366"/>
        <v>1</v>
      </c>
      <c r="H2076" s="1" t="str">
        <f>"Результат"</f>
        <v>Результат</v>
      </c>
      <c r="I2076" s="1" t="str">
        <f>"Позитивний"</f>
        <v>Позитивний</v>
      </c>
      <c r="J2076" s="1" t="str">
        <f t="shared" si="367"/>
        <v>Так</v>
      </c>
    </row>
    <row r="2077" spans="1:10" ht="45" x14ac:dyDescent="0.25">
      <c r="A2077" s="1" t="str">
        <f>"2106-2020/27"</f>
        <v>2106-2020/27</v>
      </c>
      <c r="B2077" s="1" t="str">
        <f t="shared" si="363"/>
        <v>29.04.2020</v>
      </c>
      <c r="C2077" s="1" t="str">
        <f t="shared" si="358"/>
        <v>Закрито</v>
      </c>
      <c r="D2077" s="1" t="str">
        <f>"Реєстрація місця проживання особи"</f>
        <v>Реєстрація місця проживання особи</v>
      </c>
      <c r="E2077" s="1" t="str">
        <f t="shared" si="364"/>
        <v>Реєстрація місця проживання</v>
      </c>
      <c r="F2077" s="1" t="str">
        <f t="shared" si="365"/>
        <v>Відділ реєстрації Новокаховської міської ради</v>
      </c>
      <c r="G2077" s="1" t="str">
        <f t="shared" si="366"/>
        <v>1</v>
      </c>
      <c r="H2077" s="1" t="str">
        <f>"Результат"</f>
        <v>Результат</v>
      </c>
      <c r="I2077" s="1" t="str">
        <f>"Позитивний"</f>
        <v>Позитивний</v>
      </c>
      <c r="J2077" s="1" t="str">
        <f t="shared" si="367"/>
        <v>Так</v>
      </c>
    </row>
    <row r="2078" spans="1:10" ht="45" x14ac:dyDescent="0.25">
      <c r="A2078" s="1" t="str">
        <f>"2113-2020/27"</f>
        <v>2113-2020/27</v>
      </c>
      <c r="B2078" s="1" t="str">
        <f t="shared" si="363"/>
        <v>29.04.2020</v>
      </c>
      <c r="C2078" s="1" t="str">
        <f t="shared" si="358"/>
        <v>Закрито</v>
      </c>
      <c r="D2078" s="1" t="str">
        <f>"Зняття з реєстрації місця проживання"</f>
        <v>Зняття з реєстрації місця проживання</v>
      </c>
      <c r="E2078" s="1" t="str">
        <f t="shared" si="364"/>
        <v>Реєстрація місця проживання</v>
      </c>
      <c r="F2078" s="1" t="str">
        <f t="shared" si="365"/>
        <v>Відділ реєстрації Новокаховської міської ради</v>
      </c>
      <c r="G2078" s="1" t="str">
        <f t="shared" si="366"/>
        <v>1</v>
      </c>
      <c r="H2078" s="1" t="str">
        <f>"Результат"</f>
        <v>Результат</v>
      </c>
      <c r="I2078" s="1" t="str">
        <f>"Позитивний"</f>
        <v>Позитивний</v>
      </c>
      <c r="J2078" s="1" t="str">
        <f t="shared" si="367"/>
        <v>Так</v>
      </c>
    </row>
    <row r="2079" spans="1:10" ht="45" x14ac:dyDescent="0.25">
      <c r="A2079" s="1" t="str">
        <f>"2105-2020/27"</f>
        <v>2105-2020/27</v>
      </c>
      <c r="B2079" s="1" t="str">
        <f t="shared" si="363"/>
        <v>29.04.2020</v>
      </c>
      <c r="C2079" s="1" t="str">
        <f t="shared" si="358"/>
        <v>Закрито</v>
      </c>
      <c r="D2079" s="1" t="str">
        <f>"Реєстрація місця проживання особи"</f>
        <v>Реєстрація місця проживання особи</v>
      </c>
      <c r="E2079" s="1" t="str">
        <f t="shared" si="364"/>
        <v>Реєстрація місця проживання</v>
      </c>
      <c r="F2079" s="1" t="str">
        <f t="shared" si="365"/>
        <v>Відділ реєстрації Новокаховської міської ради</v>
      </c>
      <c r="G2079" s="1" t="str">
        <f t="shared" si="366"/>
        <v>1</v>
      </c>
      <c r="H2079" s="1" t="str">
        <f>"Результат"</f>
        <v>Результат</v>
      </c>
      <c r="I2079" s="1" t="str">
        <f>"Позитивний"</f>
        <v>Позитивний</v>
      </c>
      <c r="J2079" s="1" t="str">
        <f t="shared" si="367"/>
        <v>Так</v>
      </c>
    </row>
    <row r="2080" spans="1:10" ht="45" x14ac:dyDescent="0.25">
      <c r="A2080" s="1" t="str">
        <f>"2114-2020/27"</f>
        <v>2114-2020/27</v>
      </c>
      <c r="B2080" s="1" t="str">
        <f t="shared" si="363"/>
        <v>29.04.2020</v>
      </c>
      <c r="C2080" s="1" t="str">
        <f t="shared" si="358"/>
        <v>Закрито</v>
      </c>
      <c r="D2080" s="1" t="str">
        <f>"Реєстрація місця проживання особи"</f>
        <v>Реєстрація місця проживання особи</v>
      </c>
      <c r="E2080" s="1" t="str">
        <f t="shared" si="364"/>
        <v>Реєстрація місця проживання</v>
      </c>
      <c r="F2080" s="1" t="str">
        <f t="shared" si="365"/>
        <v>Відділ реєстрації Новокаховської міської ради</v>
      </c>
      <c r="G2080" s="1" t="str">
        <f t="shared" si="366"/>
        <v>1</v>
      </c>
      <c r="H2080" s="1" t="str">
        <f>"Результат"</f>
        <v>Результат</v>
      </c>
      <c r="I2080" s="1" t="str">
        <f>"Позитивний"</f>
        <v>Позитивний</v>
      </c>
      <c r="J2080" s="1" t="str">
        <f t="shared" si="367"/>
        <v>Так</v>
      </c>
    </row>
    <row r="2081" spans="1:10" ht="135" x14ac:dyDescent="0.25">
      <c r="A2081" s="1" t="str">
        <f>"2135-2020/27"</f>
        <v>2135-2020/27</v>
      </c>
      <c r="B2081" s="1" t="str">
        <f t="shared" ref="B2081:B2099" si="368">"30.04.2020"</f>
        <v>30.04.2020</v>
      </c>
      <c r="C2081" s="1" t="str">
        <f t="shared" si="358"/>
        <v>Закрито</v>
      </c>
      <c r="D208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81" s="1" t="str">
        <f>"Земельні питання"</f>
        <v>Земельні питання</v>
      </c>
      <c r="F20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81" s="1" t="str">
        <f t="shared" si="366"/>
        <v>1</v>
      </c>
      <c r="H2081" s="1" t="str">
        <f>"Результат"</f>
        <v>Результат</v>
      </c>
      <c r="I2081" s="1" t="str">
        <f>"Позитивний"</f>
        <v>Позитивний</v>
      </c>
      <c r="J2081" s="1" t="str">
        <f t="shared" si="367"/>
        <v>Так</v>
      </c>
    </row>
    <row r="2082" spans="1:10" ht="150" x14ac:dyDescent="0.25">
      <c r="A2082" s="1" t="str">
        <f>"2136-2020/27"</f>
        <v>2136-2020/27</v>
      </c>
      <c r="B2082" s="1" t="str">
        <f t="shared" si="368"/>
        <v>30.04.2020</v>
      </c>
      <c r="C2082" s="1" t="str">
        <f t="shared" si="358"/>
        <v>Закрито</v>
      </c>
      <c r="D2082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2082" s="1" t="str">
        <f>"Будівництво"</f>
        <v>Будівництво</v>
      </c>
      <c r="F208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082" s="1" t="str">
        <f>"10"</f>
        <v>10</v>
      </c>
      <c r="H2082" s="1" t="str">
        <f>"Результат"</f>
        <v>Результат</v>
      </c>
      <c r="I2082" s="1" t="str">
        <f>"Позитивний"</f>
        <v>Позитивний</v>
      </c>
      <c r="J2082" s="1" t="str">
        <f>"Ні"</f>
        <v>Ні</v>
      </c>
    </row>
    <row r="2083" spans="1:10" ht="45" x14ac:dyDescent="0.25">
      <c r="A2083" s="1" t="str">
        <f>"2130-2020/27"</f>
        <v>2130-2020/27</v>
      </c>
      <c r="B2083" s="1" t="str">
        <f t="shared" si="368"/>
        <v>30.04.2020</v>
      </c>
      <c r="C2083" s="1" t="str">
        <f t="shared" si="358"/>
        <v>Закрито</v>
      </c>
      <c r="D2083" s="1" t="str">
        <f>"Реєстрація місця проживання особи"</f>
        <v>Реєстрація місця проживання особи</v>
      </c>
      <c r="E2083" s="1" t="str">
        <f>"Реєстрація місця проживання"</f>
        <v>Реєстрація місця проживання</v>
      </c>
      <c r="F2083" s="1" t="str">
        <f>"Відділ реєстрації Новокаховської міської ради"</f>
        <v>Відділ реєстрації Новокаховської міської ради</v>
      </c>
      <c r="G2083" s="1" t="str">
        <f>"1"</f>
        <v>1</v>
      </c>
      <c r="H2083" s="1" t="str">
        <f>"Результат"</f>
        <v>Результат</v>
      </c>
      <c r="I2083" s="1" t="str">
        <f>"Позитивний"</f>
        <v>Позитивний</v>
      </c>
      <c r="J2083" s="1" t="str">
        <f>"Так"</f>
        <v>Так</v>
      </c>
    </row>
    <row r="2084" spans="1:10" ht="135" x14ac:dyDescent="0.25">
      <c r="A2084" s="1" t="str">
        <f>"2125-2020/27"</f>
        <v>2125-2020/27</v>
      </c>
      <c r="B2084" s="1" t="str">
        <f t="shared" si="368"/>
        <v>30.04.2020</v>
      </c>
      <c r="C2084" s="1" t="str">
        <f t="shared" si="358"/>
        <v>Закрито</v>
      </c>
      <c r="D208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84" s="1" t="str">
        <f>"Земельні питання"</f>
        <v>Земельні питання</v>
      </c>
      <c r="F20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84" s="1" t="str">
        <f>"3"</f>
        <v>3</v>
      </c>
      <c r="H2084" s="1" t="str">
        <f>"Результат"</f>
        <v>Результат</v>
      </c>
      <c r="I2084" s="1" t="str">
        <f>"Позитивний"</f>
        <v>Позитивний</v>
      </c>
      <c r="J2084" s="1" t="str">
        <f>"Ні"</f>
        <v>Ні</v>
      </c>
    </row>
    <row r="2085" spans="1:10" ht="45" x14ac:dyDescent="0.25">
      <c r="A2085" s="1" t="str">
        <f>"2131-2020/27"</f>
        <v>2131-2020/27</v>
      </c>
      <c r="B2085" s="1" t="str">
        <f t="shared" si="368"/>
        <v>30.04.2020</v>
      </c>
      <c r="C2085" s="1" t="str">
        <f t="shared" ref="C2085:C2148" si="369">"Закрито"</f>
        <v>Закрито</v>
      </c>
      <c r="D2085" s="1" t="str">
        <f>"Реєстрація місця проживання особи"</f>
        <v>Реєстрація місця проживання особи</v>
      </c>
      <c r="E2085" s="1" t="str">
        <f>"Реєстрація місця проживання"</f>
        <v>Реєстрація місця проживання</v>
      </c>
      <c r="F2085" s="1" t="str">
        <f>"Відділ реєстрації Новокаховської міської ради"</f>
        <v>Відділ реєстрації Новокаховської міської ради</v>
      </c>
      <c r="G2085" s="1" t="str">
        <f>"1"</f>
        <v>1</v>
      </c>
      <c r="H2085" s="1" t="str">
        <f>"Результат"</f>
        <v>Результат</v>
      </c>
      <c r="I2085" s="1" t="str">
        <f>"Позитивний"</f>
        <v>Позитивний</v>
      </c>
      <c r="J2085" s="1" t="str">
        <f>"Так"</f>
        <v>Так</v>
      </c>
    </row>
    <row r="2086" spans="1:10" ht="120" x14ac:dyDescent="0.25">
      <c r="A2086" s="1" t="str">
        <f>"2128-2020/27"</f>
        <v>2128-2020/27</v>
      </c>
      <c r="B2086" s="1" t="str">
        <f t="shared" si="368"/>
        <v>30.04.2020</v>
      </c>
      <c r="C2086" s="1" t="str">
        <f t="shared" si="369"/>
        <v>Закрито</v>
      </c>
      <c r="D2086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086" s="1" t="str">
        <f>"Будівництво"</f>
        <v>Будівництво</v>
      </c>
      <c r="F208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086" s="1" t="str">
        <f>"10"</f>
        <v>10</v>
      </c>
      <c r="H2086" s="1" t="str">
        <f>"Результат"</f>
        <v>Результат</v>
      </c>
      <c r="I2086" s="1" t="str">
        <f>"Позитивний"</f>
        <v>Позитивний</v>
      </c>
      <c r="J2086" s="1" t="str">
        <f>"Ні"</f>
        <v>Ні</v>
      </c>
    </row>
    <row r="2087" spans="1:10" ht="135" x14ac:dyDescent="0.25">
      <c r="A2087" s="1" t="str">
        <f>"2126-2020/27"</f>
        <v>2126-2020/27</v>
      </c>
      <c r="B2087" s="1" t="str">
        <f t="shared" si="368"/>
        <v>30.04.2020</v>
      </c>
      <c r="C2087" s="1" t="str">
        <f t="shared" si="369"/>
        <v>Закрито</v>
      </c>
      <c r="D208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87" s="1" t="str">
        <f>"Земельні питання"</f>
        <v>Земельні питання</v>
      </c>
      <c r="F20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87" s="1" t="str">
        <f>"3"</f>
        <v>3</v>
      </c>
      <c r="H2087" s="1" t="str">
        <f>"Результат"</f>
        <v>Результат</v>
      </c>
      <c r="I2087" s="1" t="str">
        <f>"Позитивний"</f>
        <v>Позитивний</v>
      </c>
      <c r="J2087" s="1" t="str">
        <f>"Ні"</f>
        <v>Ні</v>
      </c>
    </row>
    <row r="2088" spans="1:10" ht="135" x14ac:dyDescent="0.25">
      <c r="A2088" s="1" t="str">
        <f>"2127-2020/27"</f>
        <v>2127-2020/27</v>
      </c>
      <c r="B2088" s="1" t="str">
        <f t="shared" si="368"/>
        <v>30.04.2020</v>
      </c>
      <c r="C2088" s="1" t="str">
        <f t="shared" si="369"/>
        <v>Закрито</v>
      </c>
      <c r="D20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88" s="1" t="str">
        <f>"Земельні питання"</f>
        <v>Земельні питання</v>
      </c>
      <c r="F20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88" s="1" t="str">
        <f>"3"</f>
        <v>3</v>
      </c>
      <c r="H2088" s="1" t="str">
        <f>"Результат"</f>
        <v>Результат</v>
      </c>
      <c r="I2088" s="1" t="str">
        <f>"Позитивний"</f>
        <v>Позитивний</v>
      </c>
      <c r="J2088" s="1" t="str">
        <f>"Ні"</f>
        <v>Ні</v>
      </c>
    </row>
    <row r="2089" spans="1:10" ht="45" x14ac:dyDescent="0.25">
      <c r="A2089" s="1" t="str">
        <f>"2122-2020/27"</f>
        <v>2122-2020/27</v>
      </c>
      <c r="B2089" s="1" t="str">
        <f t="shared" si="368"/>
        <v>30.04.2020</v>
      </c>
      <c r="C2089" s="1" t="str">
        <f t="shared" si="369"/>
        <v>Закрито</v>
      </c>
      <c r="D2089" s="1" t="str">
        <f>"Реєстрація місця проживання особи"</f>
        <v>Реєстрація місця проживання особи</v>
      </c>
      <c r="E2089" s="1" t="str">
        <f>"Реєстрація місця проживання"</f>
        <v>Реєстрація місця проживання</v>
      </c>
      <c r="F2089" s="1" t="str">
        <f>"Відділ реєстрації Новокаховської міської ради"</f>
        <v>Відділ реєстрації Новокаховської міської ради</v>
      </c>
      <c r="G2089" s="1" t="str">
        <f>"1"</f>
        <v>1</v>
      </c>
      <c r="H2089" s="1" t="str">
        <f>"Результат"</f>
        <v>Результат</v>
      </c>
      <c r="I2089" s="1" t="str">
        <f>"Позитивний"</f>
        <v>Позитивний</v>
      </c>
      <c r="J2089" s="1" t="str">
        <f>"Так"</f>
        <v>Так</v>
      </c>
    </row>
    <row r="2090" spans="1:10" ht="135" x14ac:dyDescent="0.25">
      <c r="A2090" s="1" t="str">
        <f>"2138-2020/27"</f>
        <v>2138-2020/27</v>
      </c>
      <c r="B2090" s="1" t="str">
        <f t="shared" si="368"/>
        <v>30.04.2020</v>
      </c>
      <c r="C2090" s="1" t="str">
        <f t="shared" si="369"/>
        <v>Закрито</v>
      </c>
      <c r="D209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90" s="1" t="str">
        <f>"Земельні питання"</f>
        <v>Земельні питання</v>
      </c>
      <c r="F20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90" s="1" t="str">
        <f>"3"</f>
        <v>3</v>
      </c>
      <c r="H2090" s="1" t="str">
        <f>"Результат"</f>
        <v>Результат</v>
      </c>
      <c r="I2090" s="1" t="str">
        <f>"Позитивний"</f>
        <v>Позитивний</v>
      </c>
      <c r="J2090" s="1" t="str">
        <f>"Ні"</f>
        <v>Ні</v>
      </c>
    </row>
    <row r="2091" spans="1:10" ht="45" x14ac:dyDescent="0.25">
      <c r="A2091" s="1" t="str">
        <f>"2137-2020/27"</f>
        <v>2137-2020/27</v>
      </c>
      <c r="B2091" s="1" t="str">
        <f t="shared" si="368"/>
        <v>30.04.2020</v>
      </c>
      <c r="C2091" s="1" t="str">
        <f t="shared" si="369"/>
        <v>Закрито</v>
      </c>
      <c r="D2091" s="1" t="str">
        <f>"Зняття з реєстрації місця проживання"</f>
        <v>Зняття з реєстрації місця проживання</v>
      </c>
      <c r="E2091" s="1" t="str">
        <f>"Реєстрація місця проживання"</f>
        <v>Реєстрація місця проживання</v>
      </c>
      <c r="F2091" s="1" t="str">
        <f>"Відділ реєстрації Новокаховської міської ради"</f>
        <v>Відділ реєстрації Новокаховської міської ради</v>
      </c>
      <c r="G2091" s="1" t="str">
        <f>"1"</f>
        <v>1</v>
      </c>
      <c r="H2091" s="1" t="str">
        <f>"Результат"</f>
        <v>Результат</v>
      </c>
      <c r="I2091" s="1" t="str">
        <f>"Позитивний"</f>
        <v>Позитивний</v>
      </c>
      <c r="J2091" s="1" t="str">
        <f>"Так"</f>
        <v>Так</v>
      </c>
    </row>
    <row r="2092" spans="1:10" ht="135" x14ac:dyDescent="0.25">
      <c r="A2092" s="1" t="str">
        <f>"2139-2020/27"</f>
        <v>2139-2020/27</v>
      </c>
      <c r="B2092" s="1" t="str">
        <f t="shared" si="368"/>
        <v>30.04.2020</v>
      </c>
      <c r="C2092" s="1" t="str">
        <f t="shared" si="369"/>
        <v>Закрито</v>
      </c>
      <c r="D209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092" s="1" t="str">
        <f>"Земельні питання"</f>
        <v>Земельні питання</v>
      </c>
      <c r="F20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92" s="1" t="str">
        <f>"14"</f>
        <v>14</v>
      </c>
      <c r="H2092" s="1" t="str">
        <f>"Результат"</f>
        <v>Результат</v>
      </c>
      <c r="I2092" s="1" t="str">
        <f>"Позитивний"</f>
        <v>Позитивний</v>
      </c>
      <c r="J2092" s="1" t="str">
        <f>"Ні"</f>
        <v>Ні</v>
      </c>
    </row>
    <row r="2093" spans="1:10" ht="135" x14ac:dyDescent="0.25">
      <c r="A2093" s="1" t="str">
        <f>"2123-2020/27"</f>
        <v>2123-2020/27</v>
      </c>
      <c r="B2093" s="1" t="str">
        <f t="shared" si="368"/>
        <v>30.04.2020</v>
      </c>
      <c r="C2093" s="1" t="str">
        <f t="shared" si="369"/>
        <v>Закрито</v>
      </c>
      <c r="D20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93" s="1" t="str">
        <f>"Земельні питання"</f>
        <v>Земельні питання</v>
      </c>
      <c r="F20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93" s="1" t="str">
        <f>"3"</f>
        <v>3</v>
      </c>
      <c r="H2093" s="1" t="str">
        <f>"Результат"</f>
        <v>Результат</v>
      </c>
      <c r="I2093" s="1" t="str">
        <f>"Позитивний"</f>
        <v>Позитивний</v>
      </c>
      <c r="J2093" s="1" t="str">
        <f>"Ні"</f>
        <v>Ні</v>
      </c>
    </row>
    <row r="2094" spans="1:10" ht="135" x14ac:dyDescent="0.25">
      <c r="A2094" s="1" t="str">
        <f>"2124-2020/27"</f>
        <v>2124-2020/27</v>
      </c>
      <c r="B2094" s="1" t="str">
        <f t="shared" si="368"/>
        <v>30.04.2020</v>
      </c>
      <c r="C2094" s="1" t="str">
        <f t="shared" si="369"/>
        <v>Закрито</v>
      </c>
      <c r="D20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094" s="1" t="str">
        <f>"Земельні питання"</f>
        <v>Земельні питання</v>
      </c>
      <c r="F20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94" s="1" t="str">
        <f>"3"</f>
        <v>3</v>
      </c>
      <c r="H2094" s="1" t="str">
        <f>"Результат"</f>
        <v>Результат</v>
      </c>
      <c r="I2094" s="1" t="str">
        <f>"Позитивний"</f>
        <v>Позитивний</v>
      </c>
      <c r="J2094" s="1" t="str">
        <f>"Ні"</f>
        <v>Ні</v>
      </c>
    </row>
    <row r="2095" spans="1:10" ht="45" x14ac:dyDescent="0.25">
      <c r="A2095" s="1" t="str">
        <f>"2133-2020/27"</f>
        <v>2133-2020/27</v>
      </c>
      <c r="B2095" s="1" t="str">
        <f t="shared" si="368"/>
        <v>30.04.2020</v>
      </c>
      <c r="C2095" s="1" t="str">
        <f t="shared" si="369"/>
        <v>Закрито</v>
      </c>
      <c r="D2095" s="1" t="str">
        <f>"Зняття з реєстрації місця проживання"</f>
        <v>Зняття з реєстрації місця проживання</v>
      </c>
      <c r="E2095" s="1" t="str">
        <f>"Реєстрація місця проживання"</f>
        <v>Реєстрація місця проживання</v>
      </c>
      <c r="F2095" s="1" t="str">
        <f>"Відділ реєстрації Новокаховської міської ради"</f>
        <v>Відділ реєстрації Новокаховської міської ради</v>
      </c>
      <c r="G2095" s="1" t="str">
        <f>"1"</f>
        <v>1</v>
      </c>
      <c r="H2095" s="1" t="str">
        <f>"Результат"</f>
        <v>Результат</v>
      </c>
      <c r="I2095" s="1" t="str">
        <f>"Позитивний"</f>
        <v>Позитивний</v>
      </c>
      <c r="J2095" s="1" t="str">
        <f>"Так"</f>
        <v>Так</v>
      </c>
    </row>
    <row r="2096" spans="1:10" ht="45" x14ac:dyDescent="0.25">
      <c r="A2096" s="1" t="str">
        <f>"2132-2020/27"</f>
        <v>2132-2020/27</v>
      </c>
      <c r="B2096" s="1" t="str">
        <f t="shared" si="368"/>
        <v>30.04.2020</v>
      </c>
      <c r="C2096" s="1" t="str">
        <f t="shared" si="369"/>
        <v>Закрито</v>
      </c>
      <c r="D2096" s="1" t="str">
        <f>"Зняття з реєстрації місця проживання"</f>
        <v>Зняття з реєстрації місця проживання</v>
      </c>
      <c r="E2096" s="1" t="str">
        <f>"Реєстрація місця проживання"</f>
        <v>Реєстрація місця проживання</v>
      </c>
      <c r="F2096" s="1" t="str">
        <f>"Відділ реєстрації Новокаховської міської ради"</f>
        <v>Відділ реєстрації Новокаховської міської ради</v>
      </c>
      <c r="G2096" s="1" t="str">
        <f>"1"</f>
        <v>1</v>
      </c>
      <c r="H2096" s="1" t="str">
        <f>"Результат"</f>
        <v>Результат</v>
      </c>
      <c r="I2096" s="1" t="str">
        <f>"Позитивний"</f>
        <v>Позитивний</v>
      </c>
      <c r="J2096" s="1" t="str">
        <f>"Так"</f>
        <v>Так</v>
      </c>
    </row>
    <row r="2097" spans="1:10" ht="45" x14ac:dyDescent="0.25">
      <c r="A2097" s="1" t="str">
        <f>"2121-2020/27"</f>
        <v>2121-2020/27</v>
      </c>
      <c r="B2097" s="1" t="str">
        <f t="shared" si="368"/>
        <v>30.04.2020</v>
      </c>
      <c r="C2097" s="1" t="str">
        <f t="shared" si="369"/>
        <v>Закрито</v>
      </c>
      <c r="D2097" s="1" t="str">
        <f>"Зняття з реєстрації місця проживання"</f>
        <v>Зняття з реєстрації місця проживання</v>
      </c>
      <c r="E2097" s="1" t="str">
        <f>"Реєстрація місця проживання"</f>
        <v>Реєстрація місця проживання</v>
      </c>
      <c r="F2097" s="1" t="str">
        <f>"Відділ реєстрації Новокаховської міської ради"</f>
        <v>Відділ реєстрації Новокаховської міської ради</v>
      </c>
      <c r="G2097" s="1" t="str">
        <f>"1"</f>
        <v>1</v>
      </c>
      <c r="H2097" s="1" t="str">
        <f>"Результат"</f>
        <v>Результат</v>
      </c>
      <c r="I2097" s="1" t="str">
        <f>"Позитивний"</f>
        <v>Позитивний</v>
      </c>
      <c r="J2097" s="1" t="str">
        <f>"Так"</f>
        <v>Так</v>
      </c>
    </row>
    <row r="2098" spans="1:10" ht="135" x14ac:dyDescent="0.25">
      <c r="A2098" s="1" t="str">
        <f>"2134-2020/27"</f>
        <v>2134-2020/27</v>
      </c>
      <c r="B2098" s="1" t="str">
        <f t="shared" si="368"/>
        <v>30.04.2020</v>
      </c>
      <c r="C2098" s="1" t="str">
        <f t="shared" si="369"/>
        <v>Закрито</v>
      </c>
      <c r="D209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098" s="1" t="str">
        <f>"Земельні питання"</f>
        <v>Земельні питання</v>
      </c>
      <c r="F20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098" s="1" t="str">
        <f>"1"</f>
        <v>1</v>
      </c>
      <c r="H2098" s="1" t="str">
        <f>"Результат"</f>
        <v>Результат</v>
      </c>
      <c r="I2098" s="1" t="str">
        <f>"Позитивний"</f>
        <v>Позитивний</v>
      </c>
      <c r="J2098" s="1" t="str">
        <f>"Ні"</f>
        <v>Ні</v>
      </c>
    </row>
    <row r="2099" spans="1:10" ht="120" x14ac:dyDescent="0.25">
      <c r="A2099" s="1" t="str">
        <f>"2129-2020/27"</f>
        <v>2129-2020/27</v>
      </c>
      <c r="B2099" s="1" t="str">
        <f t="shared" si="368"/>
        <v>30.04.2020</v>
      </c>
      <c r="C2099" s="1" t="str">
        <f t="shared" si="369"/>
        <v>Закрито</v>
      </c>
      <c r="D2099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099" s="1" t="str">
        <f>"Будівництво"</f>
        <v>Будівництво</v>
      </c>
      <c r="F209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099" s="1" t="str">
        <f>"10"</f>
        <v>10</v>
      </c>
      <c r="H2099" s="1" t="str">
        <f>"Результат"</f>
        <v>Результат</v>
      </c>
      <c r="I2099" s="1" t="str">
        <f>"Позитивний"</f>
        <v>Позитивний</v>
      </c>
      <c r="J2099" s="1" t="str">
        <f>"Ні"</f>
        <v>Ні</v>
      </c>
    </row>
    <row r="2100" spans="1:10" ht="135" x14ac:dyDescent="0.25">
      <c r="A2100" s="1" t="str">
        <f>"2141-2020/27"</f>
        <v>2141-2020/27</v>
      </c>
      <c r="B2100" s="1" t="str">
        <f t="shared" ref="B2100:B2109" si="370">"04.05.2020"</f>
        <v>04.05.2020</v>
      </c>
      <c r="C2100" s="1" t="str">
        <f t="shared" si="369"/>
        <v>Закрито</v>
      </c>
      <c r="D210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00" s="1" t="str">
        <f>"Земельні питання"</f>
        <v>Земельні питання</v>
      </c>
      <c r="F21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00" s="1" t="str">
        <f>"1"</f>
        <v>1</v>
      </c>
      <c r="H2100" s="1" t="str">
        <f>"Результат"</f>
        <v>Результат</v>
      </c>
      <c r="I2100" s="1" t="str">
        <f>"Позитивний"</f>
        <v>Позитивний</v>
      </c>
      <c r="J2100" s="1" t="str">
        <f>"Так"</f>
        <v>Так</v>
      </c>
    </row>
    <row r="2101" spans="1:10" ht="45" x14ac:dyDescent="0.25">
      <c r="A2101" s="1" t="str">
        <f>"2142-2020/27"</f>
        <v>2142-2020/27</v>
      </c>
      <c r="B2101" s="1" t="str">
        <f t="shared" si="370"/>
        <v>04.05.2020</v>
      </c>
      <c r="C2101" s="1" t="str">
        <f t="shared" si="369"/>
        <v>Закрито</v>
      </c>
      <c r="D2101" s="1" t="str">
        <f>"Зняття з реєстрації місця проживання"</f>
        <v>Зняття з реєстрації місця проживання</v>
      </c>
      <c r="E2101" s="1" t="str">
        <f>"Реєстрація місця проживання"</f>
        <v>Реєстрація місця проживання</v>
      </c>
      <c r="F2101" s="1" t="str">
        <f>"Відділ реєстрації Новокаховської міської ради"</f>
        <v>Відділ реєстрації Новокаховської міської ради</v>
      </c>
      <c r="G2101" s="1" t="str">
        <f>"1"</f>
        <v>1</v>
      </c>
      <c r="H2101" s="1" t="str">
        <f>"Результат"</f>
        <v>Результат</v>
      </c>
      <c r="I2101" s="1" t="str">
        <f>"Позитивний"</f>
        <v>Позитивний</v>
      </c>
      <c r="J2101" s="1" t="str">
        <f>"Так"</f>
        <v>Так</v>
      </c>
    </row>
    <row r="2102" spans="1:10" ht="90" x14ac:dyDescent="0.25">
      <c r="A2102" s="1" t="str">
        <f>"2143-2020/27"</f>
        <v>2143-2020/27</v>
      </c>
      <c r="B2102" s="1" t="str">
        <f t="shared" si="370"/>
        <v>04.05.2020</v>
      </c>
      <c r="C2102" s="1" t="str">
        <f t="shared" si="369"/>
        <v>Закрито</v>
      </c>
      <c r="D210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102" s="1" t="str">
        <f>"Інші послуги"</f>
        <v>Інші послуги</v>
      </c>
      <c r="F210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102" s="1" t="str">
        <f>"5"</f>
        <v>5</v>
      </c>
      <c r="H2102" s="1" t="str">
        <f>"Результат"</f>
        <v>Результат</v>
      </c>
      <c r="I2102" s="1" t="str">
        <f>"Позитивний"</f>
        <v>Позитивний</v>
      </c>
      <c r="J2102" s="1" t="str">
        <f>"Ні"</f>
        <v>Ні</v>
      </c>
    </row>
    <row r="2103" spans="1:10" ht="90" x14ac:dyDescent="0.25">
      <c r="A2103" s="1" t="str">
        <f>"2144-2020/27"</f>
        <v>2144-2020/27</v>
      </c>
      <c r="B2103" s="1" t="str">
        <f t="shared" si="370"/>
        <v>04.05.2020</v>
      </c>
      <c r="C2103" s="1" t="str">
        <f t="shared" si="369"/>
        <v>Закрито</v>
      </c>
      <c r="D210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103" s="1" t="str">
        <f>"Інші послуги"</f>
        <v>Інші послуги</v>
      </c>
      <c r="F210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103" s="1" t="str">
        <f>"5"</f>
        <v>5</v>
      </c>
      <c r="H2103" s="1" t="str">
        <f>"Результат"</f>
        <v>Результат</v>
      </c>
      <c r="I2103" s="1" t="str">
        <f>"Мотивована відмова"</f>
        <v>Мотивована відмова</v>
      </c>
      <c r="J2103" s="1" t="str">
        <f>"Ні"</f>
        <v>Ні</v>
      </c>
    </row>
    <row r="2104" spans="1:10" ht="135" x14ac:dyDescent="0.25">
      <c r="A2104" s="1" t="str">
        <f>"2140-2020/27"</f>
        <v>2140-2020/27</v>
      </c>
      <c r="B2104" s="1" t="str">
        <f t="shared" si="370"/>
        <v>04.05.2020</v>
      </c>
      <c r="C2104" s="1" t="str">
        <f t="shared" si="369"/>
        <v>Закрито</v>
      </c>
      <c r="D2104" s="1" t="str">
        <f>"Надання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(плану)"</f>
        <v>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</v>
      </c>
      <c r="E2104" s="1" t="str">
        <f>"Земельні питання"</f>
        <v>Земельні питання</v>
      </c>
      <c r="F21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04" s="1" t="str">
        <f>"3"</f>
        <v>3</v>
      </c>
      <c r="H2104" s="1" t="str">
        <f>"Результат"</f>
        <v>Результат</v>
      </c>
      <c r="I2104" s="1" t="str">
        <f>"Позитивний"</f>
        <v>Позитивний</v>
      </c>
      <c r="J2104" s="1" t="str">
        <f>"Так"</f>
        <v>Так</v>
      </c>
    </row>
    <row r="2105" spans="1:10" ht="135" x14ac:dyDescent="0.25">
      <c r="A2105" s="1" t="str">
        <f>"2146-2020/27"</f>
        <v>2146-2020/27</v>
      </c>
      <c r="B2105" s="1" t="str">
        <f t="shared" si="370"/>
        <v>04.05.2020</v>
      </c>
      <c r="C2105" s="1" t="str">
        <f t="shared" si="369"/>
        <v>Закрито</v>
      </c>
      <c r="D210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05" s="1" t="str">
        <f>"Земельні питання"</f>
        <v>Земельні питання</v>
      </c>
      <c r="F21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05" s="1" t="str">
        <f>"1"</f>
        <v>1</v>
      </c>
      <c r="H2105" s="1" t="str">
        <f>"Результат"</f>
        <v>Результат</v>
      </c>
      <c r="I2105" s="1" t="str">
        <f>"Позитивний"</f>
        <v>Позитивний</v>
      </c>
      <c r="J2105" s="1" t="str">
        <f>"Так"</f>
        <v>Так</v>
      </c>
    </row>
    <row r="2106" spans="1:10" ht="225" x14ac:dyDescent="0.25">
      <c r="A2106" s="1" t="str">
        <f>"2149-2020/27"</f>
        <v>2149-2020/27</v>
      </c>
      <c r="B2106" s="1" t="str">
        <f t="shared" si="370"/>
        <v>04.05.2020</v>
      </c>
      <c r="C2106" s="1" t="str">
        <f t="shared" si="369"/>
        <v>Закрито</v>
      </c>
      <c r="D2106" s="1" t="s">
        <v>1</v>
      </c>
      <c r="E2106" s="1" t="str">
        <f>"Будівництво"</f>
        <v>Будівництво</v>
      </c>
      <c r="F210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106" s="1" t="str">
        <f>"30"</f>
        <v>30</v>
      </c>
      <c r="H2106" s="1" t="str">
        <f>"Результат"</f>
        <v>Результат</v>
      </c>
      <c r="I2106" s="1" t="str">
        <f>"Позитивний"</f>
        <v>Позитивний</v>
      </c>
      <c r="J2106" s="1" t="str">
        <f>"Ні"</f>
        <v>Ні</v>
      </c>
    </row>
    <row r="2107" spans="1:10" ht="225" x14ac:dyDescent="0.25">
      <c r="A2107" s="1" t="str">
        <f>"2148-2020/27"</f>
        <v>2148-2020/27</v>
      </c>
      <c r="B2107" s="1" t="str">
        <f t="shared" si="370"/>
        <v>04.05.2020</v>
      </c>
      <c r="C2107" s="1" t="str">
        <f t="shared" si="369"/>
        <v>Закрито</v>
      </c>
      <c r="D2107" s="1" t="s">
        <v>1</v>
      </c>
      <c r="E2107" s="1" t="str">
        <f>"Будівництво"</f>
        <v>Будівництво</v>
      </c>
      <c r="F210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107" s="1" t="str">
        <f>"30"</f>
        <v>30</v>
      </c>
      <c r="H2107" s="1" t="str">
        <f>"Результат"</f>
        <v>Результат</v>
      </c>
      <c r="I2107" s="1" t="str">
        <f>"Позитивний"</f>
        <v>Позитивний</v>
      </c>
      <c r="J2107" s="1" t="str">
        <f>"Ні"</f>
        <v>Ні</v>
      </c>
    </row>
    <row r="2108" spans="1:10" ht="135" x14ac:dyDescent="0.25">
      <c r="A2108" s="1" t="str">
        <f>"2147-2020/27"</f>
        <v>2147-2020/27</v>
      </c>
      <c r="B2108" s="1" t="str">
        <f t="shared" si="370"/>
        <v>04.05.2020</v>
      </c>
      <c r="C2108" s="1" t="str">
        <f t="shared" si="369"/>
        <v>Закрито</v>
      </c>
      <c r="D210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08" s="1" t="str">
        <f t="shared" ref="E2108:E2118" si="371">"Земельні питання"</f>
        <v>Земельні питання</v>
      </c>
      <c r="F2108" s="1" t="str">
        <f t="shared" ref="F2108:F2118" si="372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08" s="1" t="str">
        <f>"1"</f>
        <v>1</v>
      </c>
      <c r="H2108" s="1" t="str">
        <f>"Результат"</f>
        <v>Результат</v>
      </c>
      <c r="I2108" s="1" t="str">
        <f>"Позитивний"</f>
        <v>Позитивний</v>
      </c>
      <c r="J2108" s="1" t="str">
        <f>"Так"</f>
        <v>Так</v>
      </c>
    </row>
    <row r="2109" spans="1:10" ht="135" x14ac:dyDescent="0.25">
      <c r="A2109" s="1" t="str">
        <f>"2145-2020/27"</f>
        <v>2145-2020/27</v>
      </c>
      <c r="B2109" s="1" t="str">
        <f t="shared" si="370"/>
        <v>04.05.2020</v>
      </c>
      <c r="C2109" s="1" t="str">
        <f t="shared" si="369"/>
        <v>Закрито</v>
      </c>
      <c r="D210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09" s="1" t="str">
        <f t="shared" si="371"/>
        <v>Земельні питання</v>
      </c>
      <c r="F2109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09" s="1" t="str">
        <f>"1"</f>
        <v>1</v>
      </c>
      <c r="H2109" s="1" t="str">
        <f>"Результат"</f>
        <v>Результат</v>
      </c>
      <c r="I2109" s="1" t="str">
        <f>"Позитивний"</f>
        <v>Позитивний</v>
      </c>
      <c r="J2109" s="1" t="str">
        <f>"Так"</f>
        <v>Так</v>
      </c>
    </row>
    <row r="2110" spans="1:10" ht="135" x14ac:dyDescent="0.25">
      <c r="A2110" s="1" t="str">
        <f>"2161-2020/27"</f>
        <v>2161-2020/27</v>
      </c>
      <c r="B2110" s="1" t="str">
        <f t="shared" ref="B2110:B2152" si="373">"05.05.2020"</f>
        <v>05.05.2020</v>
      </c>
      <c r="C2110" s="1" t="str">
        <f t="shared" si="369"/>
        <v>Закрито</v>
      </c>
      <c r="D211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10" s="1" t="str">
        <f t="shared" si="371"/>
        <v>Земельні питання</v>
      </c>
      <c r="F2110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0" s="1" t="str">
        <f>"1"</f>
        <v>1</v>
      </c>
      <c r="H2110" s="1" t="str">
        <f>"Результат"</f>
        <v>Результат</v>
      </c>
      <c r="I2110" s="1" t="str">
        <f>"Позитивний"</f>
        <v>Позитивний</v>
      </c>
      <c r="J2110" s="1" t="str">
        <f>"Так"</f>
        <v>Так</v>
      </c>
    </row>
    <row r="2111" spans="1:10" ht="135" x14ac:dyDescent="0.25">
      <c r="A2111" s="1" t="str">
        <f>"2155-2020/27"</f>
        <v>2155-2020/27</v>
      </c>
      <c r="B2111" s="1" t="str">
        <f t="shared" si="373"/>
        <v>05.05.2020</v>
      </c>
      <c r="C2111" s="1" t="str">
        <f t="shared" si="369"/>
        <v>Закрито</v>
      </c>
      <c r="D211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11" s="1" t="str">
        <f t="shared" si="371"/>
        <v>Земельні питання</v>
      </c>
      <c r="F2111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1" s="1" t="str">
        <f>"1"</f>
        <v>1</v>
      </c>
      <c r="H2111" s="1" t="str">
        <f>"Результат"</f>
        <v>Результат</v>
      </c>
      <c r="I2111" s="1" t="str">
        <f>"Позитивний"</f>
        <v>Позитивний</v>
      </c>
      <c r="J2111" s="1" t="str">
        <f>"Так"</f>
        <v>Так</v>
      </c>
    </row>
    <row r="2112" spans="1:10" ht="135" x14ac:dyDescent="0.25">
      <c r="A2112" s="1" t="str">
        <f>"2186-2020/27"</f>
        <v>2186-2020/27</v>
      </c>
      <c r="B2112" s="1" t="str">
        <f t="shared" si="373"/>
        <v>05.05.2020</v>
      </c>
      <c r="C2112" s="1" t="str">
        <f t="shared" si="369"/>
        <v>Закрито</v>
      </c>
      <c r="D21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12" s="1" t="str">
        <f t="shared" si="371"/>
        <v>Земельні питання</v>
      </c>
      <c r="F2112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2" s="1" t="str">
        <f>"3"</f>
        <v>3</v>
      </c>
      <c r="H2112" s="1" t="str">
        <f>"Результат"</f>
        <v>Результат</v>
      </c>
      <c r="I2112" s="1" t="str">
        <f>"Позитивний"</f>
        <v>Позитивний</v>
      </c>
      <c r="J2112" s="1" t="str">
        <f>"Ні"</f>
        <v>Ні</v>
      </c>
    </row>
    <row r="2113" spans="1:10" ht="135" x14ac:dyDescent="0.25">
      <c r="A2113" s="1" t="str">
        <f>"2150-2020/27"</f>
        <v>2150-2020/27</v>
      </c>
      <c r="B2113" s="1" t="str">
        <f t="shared" si="373"/>
        <v>05.05.2020</v>
      </c>
      <c r="C2113" s="1" t="str">
        <f t="shared" si="369"/>
        <v>Закрито</v>
      </c>
      <c r="D211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13" s="1" t="str">
        <f t="shared" si="371"/>
        <v>Земельні питання</v>
      </c>
      <c r="F2113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3" s="1" t="str">
        <f>"1"</f>
        <v>1</v>
      </c>
      <c r="H2113" s="1" t="str">
        <f>"Результат"</f>
        <v>Результат</v>
      </c>
      <c r="I2113" s="1" t="str">
        <f>"Позитивний"</f>
        <v>Позитивний</v>
      </c>
      <c r="J2113" s="1" t="str">
        <f>"Так"</f>
        <v>Так</v>
      </c>
    </row>
    <row r="2114" spans="1:10" ht="135" x14ac:dyDescent="0.25">
      <c r="A2114" s="1" t="str">
        <f>"2183-2020/27"</f>
        <v>2183-2020/27</v>
      </c>
      <c r="B2114" s="1" t="str">
        <f t="shared" si="373"/>
        <v>05.05.2020</v>
      </c>
      <c r="C2114" s="1" t="str">
        <f t="shared" si="369"/>
        <v>Закрито</v>
      </c>
      <c r="D211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14" s="1" t="str">
        <f t="shared" si="371"/>
        <v>Земельні питання</v>
      </c>
      <c r="F2114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4" s="1" t="str">
        <f>"3"</f>
        <v>3</v>
      </c>
      <c r="H2114" s="1" t="str">
        <f>"Результат"</f>
        <v>Результат</v>
      </c>
      <c r="I2114" s="1" t="str">
        <f>"Позитивний"</f>
        <v>Позитивний</v>
      </c>
      <c r="J2114" s="1" t="str">
        <f>"Ні"</f>
        <v>Ні</v>
      </c>
    </row>
    <row r="2115" spans="1:10" ht="135" x14ac:dyDescent="0.25">
      <c r="A2115" s="1" t="str">
        <f>"2158-2020/27"</f>
        <v>2158-2020/27</v>
      </c>
      <c r="B2115" s="1" t="str">
        <f t="shared" si="373"/>
        <v>05.05.2020</v>
      </c>
      <c r="C2115" s="1" t="str">
        <f t="shared" si="369"/>
        <v>Закрито</v>
      </c>
      <c r="D211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115" s="1" t="str">
        <f t="shared" si="371"/>
        <v>Земельні питання</v>
      </c>
      <c r="F2115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5" s="1" t="str">
        <f>"14"</f>
        <v>14</v>
      </c>
      <c r="H2115" s="1" t="str">
        <f>"Результат"</f>
        <v>Результат</v>
      </c>
      <c r="I2115" s="1" t="str">
        <f>"Позитивний"</f>
        <v>Позитивний</v>
      </c>
      <c r="J2115" s="1" t="str">
        <f>"Ні"</f>
        <v>Ні</v>
      </c>
    </row>
    <row r="2116" spans="1:10" ht="135" x14ac:dyDescent="0.25">
      <c r="A2116" s="1" t="str">
        <f>"2180-2020/27"</f>
        <v>2180-2020/27</v>
      </c>
      <c r="B2116" s="1" t="str">
        <f t="shared" si="373"/>
        <v>05.05.2020</v>
      </c>
      <c r="C2116" s="1" t="str">
        <f t="shared" si="369"/>
        <v>Закрито</v>
      </c>
      <c r="D211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16" s="1" t="str">
        <f t="shared" si="371"/>
        <v>Земельні питання</v>
      </c>
      <c r="F2116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6" s="1" t="str">
        <f>"3"</f>
        <v>3</v>
      </c>
      <c r="H2116" s="1" t="str">
        <f>"Результат"</f>
        <v>Результат</v>
      </c>
      <c r="I2116" s="1" t="str">
        <f>"Позитивний"</f>
        <v>Позитивний</v>
      </c>
      <c r="J2116" s="1" t="str">
        <f>"Ні"</f>
        <v>Ні</v>
      </c>
    </row>
    <row r="2117" spans="1:10" ht="135" x14ac:dyDescent="0.25">
      <c r="A2117" s="1" t="str">
        <f>"2153-2020/27"</f>
        <v>2153-2020/27</v>
      </c>
      <c r="B2117" s="1" t="str">
        <f t="shared" si="373"/>
        <v>05.05.2020</v>
      </c>
      <c r="C2117" s="1" t="str">
        <f t="shared" si="369"/>
        <v>Закрито</v>
      </c>
      <c r="D211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17" s="1" t="str">
        <f t="shared" si="371"/>
        <v>Земельні питання</v>
      </c>
      <c r="F2117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7" s="1" t="str">
        <f>"1"</f>
        <v>1</v>
      </c>
      <c r="H2117" s="1" t="str">
        <f>"Результат"</f>
        <v>Результат</v>
      </c>
      <c r="I2117" s="1" t="str">
        <f>"Позитивний"</f>
        <v>Позитивний</v>
      </c>
      <c r="J2117" s="1" t="str">
        <f>"Так"</f>
        <v>Так</v>
      </c>
    </row>
    <row r="2118" spans="1:10" ht="135" x14ac:dyDescent="0.25">
      <c r="A2118" s="1" t="str">
        <f>"2167-2020/27"</f>
        <v>2167-2020/27</v>
      </c>
      <c r="B2118" s="1" t="str">
        <f t="shared" si="373"/>
        <v>05.05.2020</v>
      </c>
      <c r="C2118" s="1" t="str">
        <f t="shared" si="369"/>
        <v>Закрито</v>
      </c>
      <c r="D211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18" s="1" t="str">
        <f t="shared" si="371"/>
        <v>Земельні питання</v>
      </c>
      <c r="F2118" s="1" t="str">
        <f t="shared" si="372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18" s="1" t="str">
        <f>"1"</f>
        <v>1</v>
      </c>
      <c r="H2118" s="1" t="str">
        <f>"Результат"</f>
        <v>Результат</v>
      </c>
      <c r="I2118" s="1" t="str">
        <f>"Позитивний"</f>
        <v>Позитивний</v>
      </c>
      <c r="J2118" s="1" t="str">
        <f>"Так"</f>
        <v>Так</v>
      </c>
    </row>
    <row r="2119" spans="1:10" ht="45" x14ac:dyDescent="0.25">
      <c r="A2119" s="1" t="str">
        <f>"2162-2020/27"</f>
        <v>2162-2020/27</v>
      </c>
      <c r="B2119" s="1" t="str">
        <f t="shared" si="373"/>
        <v>05.05.2020</v>
      </c>
      <c r="C2119" s="1" t="str">
        <f t="shared" si="369"/>
        <v>Закрито</v>
      </c>
      <c r="D2119" s="1" t="str">
        <f>"Зняття з реєстрації місця проживання"</f>
        <v>Зняття з реєстрації місця проживання</v>
      </c>
      <c r="E2119" s="1" t="str">
        <f>"Реєстрація місця проживання"</f>
        <v>Реєстрація місця проживання</v>
      </c>
      <c r="F2119" s="1" t="str">
        <f>"Відділ реєстрації Новокаховської міської ради"</f>
        <v>Відділ реєстрації Новокаховської міської ради</v>
      </c>
      <c r="G2119" s="1" t="str">
        <f>"1"</f>
        <v>1</v>
      </c>
      <c r="H2119" s="1" t="str">
        <f>"Результат"</f>
        <v>Результат</v>
      </c>
      <c r="I2119" s="1" t="str">
        <f>"Позитивний"</f>
        <v>Позитивний</v>
      </c>
      <c r="J2119" s="1" t="str">
        <f>"Так"</f>
        <v>Так</v>
      </c>
    </row>
    <row r="2120" spans="1:10" ht="90" x14ac:dyDescent="0.25">
      <c r="A2120" s="1" t="str">
        <f>"2165-2020/27"</f>
        <v>2165-2020/27</v>
      </c>
      <c r="B2120" s="1" t="str">
        <f t="shared" si="373"/>
        <v>05.05.2020</v>
      </c>
      <c r="C2120" s="1" t="str">
        <f t="shared" si="369"/>
        <v>Закрито</v>
      </c>
      <c r="D212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120" s="1" t="str">
        <f>"Інші послуги"</f>
        <v>Інші послуги</v>
      </c>
      <c r="F212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120" s="1" t="str">
        <f>"5"</f>
        <v>5</v>
      </c>
      <c r="H2120" s="1" t="str">
        <f>"Результат"</f>
        <v>Результат</v>
      </c>
      <c r="I2120" s="1" t="str">
        <f>"Позитивний"</f>
        <v>Позитивний</v>
      </c>
      <c r="J2120" s="1" t="str">
        <f>"Ні"</f>
        <v>Ні</v>
      </c>
    </row>
    <row r="2121" spans="1:10" ht="135" x14ac:dyDescent="0.25">
      <c r="A2121" s="1" t="str">
        <f>"2164-2020/27"</f>
        <v>2164-2020/27</v>
      </c>
      <c r="B2121" s="1" t="str">
        <f t="shared" si="373"/>
        <v>05.05.2020</v>
      </c>
      <c r="C2121" s="1" t="str">
        <f t="shared" si="369"/>
        <v>Закрито</v>
      </c>
      <c r="D21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21" s="1" t="str">
        <f>"Земельні питання"</f>
        <v>Земельні питання</v>
      </c>
      <c r="F21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1" s="1" t="str">
        <f>"1"</f>
        <v>1</v>
      </c>
      <c r="H2121" s="1" t="str">
        <f>"Результат"</f>
        <v>Результат</v>
      </c>
      <c r="I2121" s="1" t="str">
        <f>"Позитивний"</f>
        <v>Позитивний</v>
      </c>
      <c r="J2121" s="1" t="str">
        <f>"Так"</f>
        <v>Так</v>
      </c>
    </row>
    <row r="2122" spans="1:10" ht="75" x14ac:dyDescent="0.25">
      <c r="A2122" s="1" t="str">
        <f>"2175-2020/27"</f>
        <v>2175-2020/27</v>
      </c>
      <c r="B2122" s="1" t="str">
        <f t="shared" si="373"/>
        <v>05.05.2020</v>
      </c>
      <c r="C2122" s="1" t="str">
        <f t="shared" si="369"/>
        <v>Закрито</v>
      </c>
      <c r="D2122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2122" s="1" t="str">
        <f>"Зовнішня реклама"</f>
        <v>Зовнішня реклама</v>
      </c>
      <c r="F2122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2122" s="1" t="str">
        <f>"30"</f>
        <v>30</v>
      </c>
      <c r="H2122" s="1" t="str">
        <f>"Результат"</f>
        <v>Результат</v>
      </c>
      <c r="I2122" s="1" t="str">
        <f>"Позитивний"</f>
        <v>Позитивний</v>
      </c>
      <c r="J2122" s="1" t="str">
        <f>"Ні"</f>
        <v>Ні</v>
      </c>
    </row>
    <row r="2123" spans="1:10" ht="135" x14ac:dyDescent="0.25">
      <c r="A2123" s="1" t="str">
        <f>"2169-2020/27"</f>
        <v>2169-2020/27</v>
      </c>
      <c r="B2123" s="1" t="str">
        <f t="shared" si="373"/>
        <v>05.05.2020</v>
      </c>
      <c r="C2123" s="1" t="str">
        <f t="shared" si="369"/>
        <v>Закрито</v>
      </c>
      <c r="D21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23" s="1" t="str">
        <f t="shared" ref="E2123:E2129" si="374">"Земельні питання"</f>
        <v>Земельні питання</v>
      </c>
      <c r="F2123" s="1" t="str">
        <f t="shared" ref="F2123:F2129" si="375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3" s="1" t="str">
        <f>"1"</f>
        <v>1</v>
      </c>
      <c r="H2123" s="1" t="str">
        <f>"Результат"</f>
        <v>Результат</v>
      </c>
      <c r="I2123" s="1" t="str">
        <f>"Позитивний"</f>
        <v>Позитивний</v>
      </c>
      <c r="J2123" s="1" t="str">
        <f>"Так"</f>
        <v>Так</v>
      </c>
    </row>
    <row r="2124" spans="1:10" ht="135" x14ac:dyDescent="0.25">
      <c r="A2124" s="1" t="str">
        <f>"2179-2020/27"</f>
        <v>2179-2020/27</v>
      </c>
      <c r="B2124" s="1" t="str">
        <f t="shared" si="373"/>
        <v>05.05.2020</v>
      </c>
      <c r="C2124" s="1" t="str">
        <f t="shared" si="369"/>
        <v>Закрито</v>
      </c>
      <c r="D212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24" s="1" t="str">
        <f t="shared" si="374"/>
        <v>Земельні питання</v>
      </c>
      <c r="F2124" s="1" t="str">
        <f t="shared" si="37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4" s="1" t="str">
        <f>"3"</f>
        <v>3</v>
      </c>
      <c r="H2124" s="1" t="str">
        <f>"Результат"</f>
        <v>Результат</v>
      </c>
      <c r="I2124" s="1" t="str">
        <f>"Позитивний"</f>
        <v>Позитивний</v>
      </c>
      <c r="J2124" s="1" t="str">
        <f>"Ні"</f>
        <v>Ні</v>
      </c>
    </row>
    <row r="2125" spans="1:10" ht="135" x14ac:dyDescent="0.25">
      <c r="A2125" s="1" t="str">
        <f>"2151-2020/27"</f>
        <v>2151-2020/27</v>
      </c>
      <c r="B2125" s="1" t="str">
        <f t="shared" si="373"/>
        <v>05.05.2020</v>
      </c>
      <c r="C2125" s="1" t="str">
        <f t="shared" si="369"/>
        <v>Закрито</v>
      </c>
      <c r="D212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25" s="1" t="str">
        <f t="shared" si="374"/>
        <v>Земельні питання</v>
      </c>
      <c r="F2125" s="1" t="str">
        <f t="shared" si="37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5" s="1" t="str">
        <f>"1"</f>
        <v>1</v>
      </c>
      <c r="H2125" s="1" t="str">
        <f>"Результат"</f>
        <v>Результат</v>
      </c>
      <c r="I2125" s="1" t="str">
        <f>"Позитивний"</f>
        <v>Позитивний</v>
      </c>
      <c r="J2125" s="1" t="str">
        <f>"Так"</f>
        <v>Так</v>
      </c>
    </row>
    <row r="2126" spans="1:10" ht="135" x14ac:dyDescent="0.25">
      <c r="A2126" s="1" t="str">
        <f>"2157-2020/27"</f>
        <v>2157-2020/27</v>
      </c>
      <c r="B2126" s="1" t="str">
        <f t="shared" si="373"/>
        <v>05.05.2020</v>
      </c>
      <c r="C2126" s="1" t="str">
        <f t="shared" si="369"/>
        <v>Закрито</v>
      </c>
      <c r="D21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26" s="1" t="str">
        <f t="shared" si="374"/>
        <v>Земельні питання</v>
      </c>
      <c r="F2126" s="1" t="str">
        <f t="shared" si="37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6" s="1" t="str">
        <f>"1"</f>
        <v>1</v>
      </c>
      <c r="H2126" s="1" t="str">
        <f>"Результат"</f>
        <v>Результат</v>
      </c>
      <c r="I2126" s="1" t="str">
        <f>"Позитивний"</f>
        <v>Позитивний</v>
      </c>
      <c r="J2126" s="1" t="str">
        <f>"Так"</f>
        <v>Так</v>
      </c>
    </row>
    <row r="2127" spans="1:10" ht="135" x14ac:dyDescent="0.25">
      <c r="A2127" s="1" t="str">
        <f>"2163-2020/27"</f>
        <v>2163-2020/27</v>
      </c>
      <c r="B2127" s="1" t="str">
        <f t="shared" si="373"/>
        <v>05.05.2020</v>
      </c>
      <c r="C2127" s="1" t="str">
        <f t="shared" si="369"/>
        <v>Закрито</v>
      </c>
      <c r="D212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27" s="1" t="str">
        <f t="shared" si="374"/>
        <v>Земельні питання</v>
      </c>
      <c r="F2127" s="1" t="str">
        <f t="shared" si="37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7" s="1" t="str">
        <f>"1"</f>
        <v>1</v>
      </c>
      <c r="H2127" s="1" t="str">
        <f>"Результат"</f>
        <v>Результат</v>
      </c>
      <c r="I2127" s="1" t="str">
        <f>"Позитивний"</f>
        <v>Позитивний</v>
      </c>
      <c r="J2127" s="1" t="str">
        <f>"Так"</f>
        <v>Так</v>
      </c>
    </row>
    <row r="2128" spans="1:10" ht="135" x14ac:dyDescent="0.25">
      <c r="A2128" s="1" t="str">
        <f>"2184-2020/27"</f>
        <v>2184-2020/27</v>
      </c>
      <c r="B2128" s="1" t="str">
        <f t="shared" si="373"/>
        <v>05.05.2020</v>
      </c>
      <c r="C2128" s="1" t="str">
        <f t="shared" si="369"/>
        <v>Закрито</v>
      </c>
      <c r="D212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28" s="1" t="str">
        <f t="shared" si="374"/>
        <v>Земельні питання</v>
      </c>
      <c r="F2128" s="1" t="str">
        <f t="shared" si="37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8" s="1" t="str">
        <f>"3"</f>
        <v>3</v>
      </c>
      <c r="H2128" s="1" t="str">
        <f>"Результат"</f>
        <v>Результат</v>
      </c>
      <c r="I2128" s="1" t="str">
        <f>"Позитивний"</f>
        <v>Позитивний</v>
      </c>
      <c r="J2128" s="1" t="str">
        <f>"Ні"</f>
        <v>Ні</v>
      </c>
    </row>
    <row r="2129" spans="1:10" ht="135" x14ac:dyDescent="0.25">
      <c r="A2129" s="1" t="str">
        <f>"2170-2020/27"</f>
        <v>2170-2020/27</v>
      </c>
      <c r="B2129" s="1" t="str">
        <f t="shared" si="373"/>
        <v>05.05.2020</v>
      </c>
      <c r="C2129" s="1" t="str">
        <f t="shared" si="369"/>
        <v>Закрито</v>
      </c>
      <c r="D212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29" s="1" t="str">
        <f t="shared" si="374"/>
        <v>Земельні питання</v>
      </c>
      <c r="F2129" s="1" t="str">
        <f t="shared" si="37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29" s="1" t="str">
        <f>"1"</f>
        <v>1</v>
      </c>
      <c r="H2129" s="1" t="str">
        <f>"Результат"</f>
        <v>Результат</v>
      </c>
      <c r="I2129" s="1" t="str">
        <f>"Позитивний"</f>
        <v>Позитивний</v>
      </c>
      <c r="J2129" s="1" t="str">
        <f>"Так"</f>
        <v>Так</v>
      </c>
    </row>
    <row r="2130" spans="1:10" ht="75" x14ac:dyDescent="0.25">
      <c r="A2130" s="1" t="str">
        <f>"2176-2020/27"</f>
        <v>2176-2020/27</v>
      </c>
      <c r="B2130" s="1" t="str">
        <f t="shared" si="373"/>
        <v>05.05.2020</v>
      </c>
      <c r="C2130" s="1" t="str">
        <f t="shared" si="369"/>
        <v>Закрито</v>
      </c>
      <c r="D2130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2130" s="1" t="str">
        <f>"Зовнішня реклама"</f>
        <v>Зовнішня реклама</v>
      </c>
      <c r="F2130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2130" s="1" t="str">
        <f>"30"</f>
        <v>30</v>
      </c>
      <c r="H2130" s="1" t="str">
        <f>"Результат"</f>
        <v>Результат</v>
      </c>
      <c r="I2130" s="1" t="str">
        <f>"Позитивний"</f>
        <v>Позитивний</v>
      </c>
      <c r="J2130" s="1" t="str">
        <f>"Ні"</f>
        <v>Ні</v>
      </c>
    </row>
    <row r="2131" spans="1:10" ht="135" x14ac:dyDescent="0.25">
      <c r="A2131" s="1" t="str">
        <f>"2191-2020/27"</f>
        <v>2191-2020/27</v>
      </c>
      <c r="B2131" s="1" t="str">
        <f t="shared" si="373"/>
        <v>05.05.2020</v>
      </c>
      <c r="C2131" s="1" t="str">
        <f t="shared" si="369"/>
        <v>Закрито</v>
      </c>
      <c r="D213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31" s="1" t="str">
        <f>"Земельні питання"</f>
        <v>Земельні питання</v>
      </c>
      <c r="F21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31" s="1" t="str">
        <f>"1"</f>
        <v>1</v>
      </c>
      <c r="H2131" s="1" t="str">
        <f>"Результат"</f>
        <v>Результат</v>
      </c>
      <c r="I2131" s="1" t="str">
        <f>"Позитивний"</f>
        <v>Позитивний</v>
      </c>
      <c r="J2131" s="1" t="str">
        <f>"Так"</f>
        <v>Так</v>
      </c>
    </row>
    <row r="2132" spans="1:10" ht="75" x14ac:dyDescent="0.25">
      <c r="A2132" s="1" t="str">
        <f>"2174-2020/27"</f>
        <v>2174-2020/27</v>
      </c>
      <c r="B2132" s="1" t="str">
        <f t="shared" si="373"/>
        <v>05.05.2020</v>
      </c>
      <c r="C2132" s="1" t="str">
        <f t="shared" si="369"/>
        <v>Закрито</v>
      </c>
      <c r="D2132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2132" s="1" t="str">
        <f>"Зовнішня реклама"</f>
        <v>Зовнішня реклама</v>
      </c>
      <c r="F2132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2132" s="1" t="str">
        <f>"30"</f>
        <v>30</v>
      </c>
      <c r="H2132" s="1" t="str">
        <f>"Результат"</f>
        <v>Результат</v>
      </c>
      <c r="I2132" s="1" t="str">
        <f>"Позитивний"</f>
        <v>Позитивний</v>
      </c>
      <c r="J2132" s="1" t="str">
        <f t="shared" ref="J2132:J2138" si="376">"Ні"</f>
        <v>Ні</v>
      </c>
    </row>
    <row r="2133" spans="1:10" ht="90" x14ac:dyDescent="0.25">
      <c r="A2133" s="1" t="str">
        <f>"2166-2020/27"</f>
        <v>2166-2020/27</v>
      </c>
      <c r="B2133" s="1" t="str">
        <f t="shared" si="373"/>
        <v>05.05.2020</v>
      </c>
      <c r="C2133" s="1" t="str">
        <f t="shared" si="369"/>
        <v>Закрито</v>
      </c>
      <c r="D213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133" s="1" t="str">
        <f>"Інші послуги"</f>
        <v>Інші послуги</v>
      </c>
      <c r="F213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133" s="1" t="str">
        <f>"5"</f>
        <v>5</v>
      </c>
      <c r="H2133" s="1" t="str">
        <f>"Результат"</f>
        <v>Результат</v>
      </c>
      <c r="I2133" s="1" t="str">
        <f>"Позитивний"</f>
        <v>Позитивний</v>
      </c>
      <c r="J2133" s="1" t="str">
        <f t="shared" si="376"/>
        <v>Ні</v>
      </c>
    </row>
    <row r="2134" spans="1:10" ht="75" x14ac:dyDescent="0.25">
      <c r="A2134" s="1" t="str">
        <f>"2173-2020/27"</f>
        <v>2173-2020/27</v>
      </c>
      <c r="B2134" s="1" t="str">
        <f t="shared" si="373"/>
        <v>05.05.2020</v>
      </c>
      <c r="C2134" s="1" t="str">
        <f t="shared" si="369"/>
        <v>Закрито</v>
      </c>
      <c r="D2134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2134" s="1" t="str">
        <f>"Зовнішня реклама"</f>
        <v>Зовнішня реклама</v>
      </c>
      <c r="F2134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2134" s="1" t="str">
        <f>"30"</f>
        <v>30</v>
      </c>
      <c r="H2134" s="1" t="str">
        <f>"Результат"</f>
        <v>Результат</v>
      </c>
      <c r="I2134" s="1" t="str">
        <f>"Позитивний"</f>
        <v>Позитивний</v>
      </c>
      <c r="J2134" s="1" t="str">
        <f t="shared" si="376"/>
        <v>Ні</v>
      </c>
    </row>
    <row r="2135" spans="1:10" ht="135" x14ac:dyDescent="0.25">
      <c r="A2135" s="1" t="str">
        <f>"2177-2020/27"</f>
        <v>2177-2020/27</v>
      </c>
      <c r="B2135" s="1" t="str">
        <f t="shared" si="373"/>
        <v>05.05.2020</v>
      </c>
      <c r="C2135" s="1" t="str">
        <f t="shared" si="369"/>
        <v>Закрито</v>
      </c>
      <c r="D213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35" s="1" t="str">
        <f t="shared" ref="E2135:E2142" si="377">"Земельні питання"</f>
        <v>Земельні питання</v>
      </c>
      <c r="F2135" s="1" t="str">
        <f t="shared" ref="F2135:F2142" si="378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35" s="1" t="str">
        <f>"3"</f>
        <v>3</v>
      </c>
      <c r="H2135" s="1" t="str">
        <f>"Результат"</f>
        <v>Результат</v>
      </c>
      <c r="I2135" s="1" t="str">
        <f>"Позитивний"</f>
        <v>Позитивний</v>
      </c>
      <c r="J2135" s="1" t="str">
        <f t="shared" si="376"/>
        <v>Ні</v>
      </c>
    </row>
    <row r="2136" spans="1:10" ht="135" x14ac:dyDescent="0.25">
      <c r="A2136" s="1" t="str">
        <f>"2188-2020/27"</f>
        <v>2188-2020/27</v>
      </c>
      <c r="B2136" s="1" t="str">
        <f t="shared" si="373"/>
        <v>05.05.2020</v>
      </c>
      <c r="C2136" s="1" t="str">
        <f t="shared" si="369"/>
        <v>Закрито</v>
      </c>
      <c r="D213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36" s="1" t="str">
        <f t="shared" si="377"/>
        <v>Земельні питання</v>
      </c>
      <c r="F2136" s="1" t="str">
        <f t="shared" si="3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36" s="1" t="str">
        <f>"3"</f>
        <v>3</v>
      </c>
      <c r="H2136" s="1" t="str">
        <f>"Результат"</f>
        <v>Результат</v>
      </c>
      <c r="I2136" s="1" t="str">
        <f>"Позитивний"</f>
        <v>Позитивний</v>
      </c>
      <c r="J2136" s="1" t="str">
        <f t="shared" si="376"/>
        <v>Ні</v>
      </c>
    </row>
    <row r="2137" spans="1:10" ht="135" x14ac:dyDescent="0.25">
      <c r="A2137" s="1" t="str">
        <f>"2185-2020/27"</f>
        <v>2185-2020/27</v>
      </c>
      <c r="B2137" s="1" t="str">
        <f t="shared" si="373"/>
        <v>05.05.2020</v>
      </c>
      <c r="C2137" s="1" t="str">
        <f t="shared" si="369"/>
        <v>Закрито</v>
      </c>
      <c r="D213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37" s="1" t="str">
        <f t="shared" si="377"/>
        <v>Земельні питання</v>
      </c>
      <c r="F2137" s="1" t="str">
        <f t="shared" si="3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37" s="1" t="str">
        <f>"3"</f>
        <v>3</v>
      </c>
      <c r="H2137" s="1" t="str">
        <f>"Результат"</f>
        <v>Результат</v>
      </c>
      <c r="I2137" s="1" t="str">
        <f>"Позитивний"</f>
        <v>Позитивний</v>
      </c>
      <c r="J2137" s="1" t="str">
        <f t="shared" si="376"/>
        <v>Ні</v>
      </c>
    </row>
    <row r="2138" spans="1:10" ht="135" x14ac:dyDescent="0.25">
      <c r="A2138" s="1" t="str">
        <f>"2187-2020/27"</f>
        <v>2187-2020/27</v>
      </c>
      <c r="B2138" s="1" t="str">
        <f t="shared" si="373"/>
        <v>05.05.2020</v>
      </c>
      <c r="C2138" s="1" t="str">
        <f t="shared" si="369"/>
        <v>Закрито</v>
      </c>
      <c r="D213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38" s="1" t="str">
        <f t="shared" si="377"/>
        <v>Земельні питання</v>
      </c>
      <c r="F2138" s="1" t="str">
        <f t="shared" si="3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38" s="1" t="str">
        <f>"3"</f>
        <v>3</v>
      </c>
      <c r="H2138" s="1" t="str">
        <f>"Результат"</f>
        <v>Результат</v>
      </c>
      <c r="I2138" s="1" t="str">
        <f>"Позитивний"</f>
        <v>Позитивний</v>
      </c>
      <c r="J2138" s="1" t="str">
        <f t="shared" si="376"/>
        <v>Ні</v>
      </c>
    </row>
    <row r="2139" spans="1:10" ht="135" x14ac:dyDescent="0.25">
      <c r="A2139" s="1" t="str">
        <f>"2156-2020/27"</f>
        <v>2156-2020/27</v>
      </c>
      <c r="B2139" s="1" t="str">
        <f t="shared" si="373"/>
        <v>05.05.2020</v>
      </c>
      <c r="C2139" s="1" t="str">
        <f t="shared" si="369"/>
        <v>Закрито</v>
      </c>
      <c r="D213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39" s="1" t="str">
        <f t="shared" si="377"/>
        <v>Земельні питання</v>
      </c>
      <c r="F2139" s="1" t="str">
        <f t="shared" si="3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39" s="1" t="str">
        <f>"1"</f>
        <v>1</v>
      </c>
      <c r="H2139" s="1" t="str">
        <f>"Результат"</f>
        <v>Результат</v>
      </c>
      <c r="I2139" s="1" t="str">
        <f>"Позитивний"</f>
        <v>Позитивний</v>
      </c>
      <c r="J2139" s="1" t="str">
        <f>"Так"</f>
        <v>Так</v>
      </c>
    </row>
    <row r="2140" spans="1:10" ht="135" x14ac:dyDescent="0.25">
      <c r="A2140" s="1" t="str">
        <f>"2189-2020/27"</f>
        <v>2189-2020/27</v>
      </c>
      <c r="B2140" s="1" t="str">
        <f t="shared" si="373"/>
        <v>05.05.2020</v>
      </c>
      <c r="C2140" s="1" t="str">
        <f t="shared" si="369"/>
        <v>Закрито</v>
      </c>
      <c r="D2140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140" s="1" t="str">
        <f t="shared" si="377"/>
        <v>Земельні питання</v>
      </c>
      <c r="F2140" s="1" t="str">
        <f t="shared" si="3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0" s="1" t="str">
        <f>"14"</f>
        <v>14</v>
      </c>
      <c r="H2140" s="1" t="str">
        <f>"Результат"</f>
        <v>Результат</v>
      </c>
      <c r="I2140" s="1" t="str">
        <f>"Позитивний"</f>
        <v>Позитивний</v>
      </c>
      <c r="J2140" s="1" t="str">
        <f>"Ні"</f>
        <v>Ні</v>
      </c>
    </row>
    <row r="2141" spans="1:10" ht="135" x14ac:dyDescent="0.25">
      <c r="A2141" s="1" t="str">
        <f>"2192-2020/27"</f>
        <v>2192-2020/27</v>
      </c>
      <c r="B2141" s="1" t="str">
        <f t="shared" si="373"/>
        <v>05.05.2020</v>
      </c>
      <c r="C2141" s="1" t="str">
        <f t="shared" si="369"/>
        <v>Закрито</v>
      </c>
      <c r="D214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41" s="1" t="str">
        <f t="shared" si="377"/>
        <v>Земельні питання</v>
      </c>
      <c r="F2141" s="1" t="str">
        <f t="shared" si="3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1" s="1" t="str">
        <f>"1"</f>
        <v>1</v>
      </c>
      <c r="H2141" s="1" t="str">
        <f>"Результат"</f>
        <v>Результат</v>
      </c>
      <c r="I2141" s="1" t="str">
        <f>"Позитивний"</f>
        <v>Позитивний</v>
      </c>
      <c r="J2141" s="1" t="str">
        <f>"Так"</f>
        <v>Так</v>
      </c>
    </row>
    <row r="2142" spans="1:10" ht="135" x14ac:dyDescent="0.25">
      <c r="A2142" s="1" t="str">
        <f>"2178-2020/27"</f>
        <v>2178-2020/27</v>
      </c>
      <c r="B2142" s="1" t="str">
        <f t="shared" si="373"/>
        <v>05.05.2020</v>
      </c>
      <c r="C2142" s="1" t="str">
        <f t="shared" si="369"/>
        <v>Закрито</v>
      </c>
      <c r="D214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42" s="1" t="str">
        <f t="shared" si="377"/>
        <v>Земельні питання</v>
      </c>
      <c r="F2142" s="1" t="str">
        <f t="shared" si="378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2" s="1" t="str">
        <f>"3"</f>
        <v>3</v>
      </c>
      <c r="H2142" s="1" t="str">
        <f>"Результат"</f>
        <v>Результат</v>
      </c>
      <c r="I2142" s="1" t="str">
        <f>"Позитивний"</f>
        <v>Позитивний</v>
      </c>
      <c r="J2142" s="1" t="str">
        <f>"Ні"</f>
        <v>Ні</v>
      </c>
    </row>
    <row r="2143" spans="1:10" ht="75" x14ac:dyDescent="0.25">
      <c r="A2143" s="1" t="str">
        <f>"2172-2020/27"</f>
        <v>2172-2020/27</v>
      </c>
      <c r="B2143" s="1" t="str">
        <f t="shared" si="373"/>
        <v>05.05.2020</v>
      </c>
      <c r="C2143" s="1" t="str">
        <f t="shared" si="369"/>
        <v>Закрито</v>
      </c>
      <c r="D2143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2143" s="1" t="str">
        <f>"Зовнішня реклама"</f>
        <v>Зовнішня реклама</v>
      </c>
      <c r="F2143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2143" s="1" t="str">
        <f>"30"</f>
        <v>30</v>
      </c>
      <c r="H2143" s="1" t="str">
        <f>"Результат"</f>
        <v>Результат</v>
      </c>
      <c r="I2143" s="1" t="str">
        <f>"Позитивний"</f>
        <v>Позитивний</v>
      </c>
      <c r="J2143" s="1" t="str">
        <f>"Ні"</f>
        <v>Ні</v>
      </c>
    </row>
    <row r="2144" spans="1:10" ht="135" x14ac:dyDescent="0.25">
      <c r="A2144" s="1" t="str">
        <f>"2154-2020/27"</f>
        <v>2154-2020/27</v>
      </c>
      <c r="B2144" s="1" t="str">
        <f t="shared" si="373"/>
        <v>05.05.2020</v>
      </c>
      <c r="C2144" s="1" t="str">
        <f t="shared" si="369"/>
        <v>Закрито</v>
      </c>
      <c r="D214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44" s="1" t="str">
        <f>"Земельні питання"</f>
        <v>Земельні питання</v>
      </c>
      <c r="F21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4" s="1" t="str">
        <f>"1"</f>
        <v>1</v>
      </c>
      <c r="H2144" s="1" t="str">
        <f>"Результат"</f>
        <v>Результат</v>
      </c>
      <c r="I2144" s="1" t="str">
        <f>"Позитивний"</f>
        <v>Позитивний</v>
      </c>
      <c r="J2144" s="1" t="str">
        <f>"Так"</f>
        <v>Так</v>
      </c>
    </row>
    <row r="2145" spans="1:10" ht="45" x14ac:dyDescent="0.25">
      <c r="A2145" s="1" t="str">
        <f>"2160-2020/27"</f>
        <v>2160-2020/27</v>
      </c>
      <c r="B2145" s="1" t="str">
        <f t="shared" si="373"/>
        <v>05.05.2020</v>
      </c>
      <c r="C2145" s="1" t="str">
        <f t="shared" si="369"/>
        <v>Закрито</v>
      </c>
      <c r="D2145" s="1" t="str">
        <f>"Зняття з реєстрації місця проживання"</f>
        <v>Зняття з реєстрації місця проживання</v>
      </c>
      <c r="E2145" s="1" t="str">
        <f>"Реєстрація місця проживання"</f>
        <v>Реєстрація місця проживання</v>
      </c>
      <c r="F2145" s="1" t="str">
        <f>"Відділ реєстрації Новокаховської міської ради"</f>
        <v>Відділ реєстрації Новокаховської міської ради</v>
      </c>
      <c r="G2145" s="1" t="str">
        <f>"1"</f>
        <v>1</v>
      </c>
      <c r="H2145" s="1" t="str">
        <f>"Результат"</f>
        <v>Результат</v>
      </c>
      <c r="I2145" s="1" t="str">
        <f>"Позитивний"</f>
        <v>Позитивний</v>
      </c>
      <c r="J2145" s="1" t="str">
        <f>"Так"</f>
        <v>Так</v>
      </c>
    </row>
    <row r="2146" spans="1:10" ht="135" x14ac:dyDescent="0.25">
      <c r="A2146" s="1" t="str">
        <f>"2159-2020/27"</f>
        <v>2159-2020/27</v>
      </c>
      <c r="B2146" s="1" t="str">
        <f t="shared" si="373"/>
        <v>05.05.2020</v>
      </c>
      <c r="C2146" s="1" t="str">
        <f t="shared" si="369"/>
        <v>Закрито</v>
      </c>
      <c r="D214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46" s="1" t="str">
        <f>"Земельні питання"</f>
        <v>Земельні питання</v>
      </c>
      <c r="F21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6" s="1" t="str">
        <f>"1"</f>
        <v>1</v>
      </c>
      <c r="H2146" s="1" t="str">
        <f>"Результат"</f>
        <v>Результат</v>
      </c>
      <c r="I2146" s="1" t="str">
        <f>"Позитивний"</f>
        <v>Позитивний</v>
      </c>
      <c r="J2146" s="1" t="str">
        <f>"Так"</f>
        <v>Так</v>
      </c>
    </row>
    <row r="2147" spans="1:10" ht="135" x14ac:dyDescent="0.25">
      <c r="A2147" s="1" t="str">
        <f>"2182-2020/27"</f>
        <v>2182-2020/27</v>
      </c>
      <c r="B2147" s="1" t="str">
        <f t="shared" si="373"/>
        <v>05.05.2020</v>
      </c>
      <c r="C2147" s="1" t="str">
        <f t="shared" si="369"/>
        <v>Закрито</v>
      </c>
      <c r="D214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47" s="1" t="str">
        <f>"Земельні питання"</f>
        <v>Земельні питання</v>
      </c>
      <c r="F21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7" s="1" t="str">
        <f>"3"</f>
        <v>3</v>
      </c>
      <c r="H2147" s="1" t="str">
        <f>"Результат"</f>
        <v>Результат</v>
      </c>
      <c r="I2147" s="1" t="str">
        <f>"Позитивний"</f>
        <v>Позитивний</v>
      </c>
      <c r="J2147" s="1" t="str">
        <f>"Ні"</f>
        <v>Ні</v>
      </c>
    </row>
    <row r="2148" spans="1:10" ht="225" x14ac:dyDescent="0.25">
      <c r="A2148" s="1" t="str">
        <f>"2171-2020/27"</f>
        <v>2171-2020/27</v>
      </c>
      <c r="B2148" s="1" t="str">
        <f t="shared" si="373"/>
        <v>05.05.2020</v>
      </c>
      <c r="C2148" s="1" t="str">
        <f t="shared" si="369"/>
        <v>Закрито</v>
      </c>
      <c r="D2148" s="1" t="s">
        <v>1</v>
      </c>
      <c r="E2148" s="1" t="str">
        <f>"Будівництво"</f>
        <v>Будівництво</v>
      </c>
      <c r="F214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148" s="1" t="str">
        <f>"30"</f>
        <v>30</v>
      </c>
      <c r="H2148" s="1" t="str">
        <f>"Результат"</f>
        <v>Результат</v>
      </c>
      <c r="I2148" s="1" t="str">
        <f>"Позитивний"</f>
        <v>Позитивний</v>
      </c>
      <c r="J2148" s="1" t="str">
        <f>"Ні"</f>
        <v>Ні</v>
      </c>
    </row>
    <row r="2149" spans="1:10" ht="135" x14ac:dyDescent="0.25">
      <c r="A2149" s="1" t="str">
        <f>"2190-2020/27"</f>
        <v>2190-2020/27</v>
      </c>
      <c r="B2149" s="1" t="str">
        <f t="shared" si="373"/>
        <v>05.05.2020</v>
      </c>
      <c r="C2149" s="1" t="str">
        <f t="shared" ref="C2149:C2189" si="379">"Закрито"</f>
        <v>Закрито</v>
      </c>
      <c r="D21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49" s="1" t="str">
        <f t="shared" ref="E2149:E2154" si="380">"Земельні питання"</f>
        <v>Земельні питання</v>
      </c>
      <c r="F2149" s="1" t="str">
        <f t="shared" ref="F2149:F2154" si="381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49" s="1" t="str">
        <f>"1"</f>
        <v>1</v>
      </c>
      <c r="H2149" s="1" t="str">
        <f>"Результат"</f>
        <v>Результат</v>
      </c>
      <c r="I2149" s="1" t="str">
        <f>"Позитивний"</f>
        <v>Позитивний</v>
      </c>
      <c r="J2149" s="1" t="str">
        <f>"Так"</f>
        <v>Так</v>
      </c>
    </row>
    <row r="2150" spans="1:10" ht="135" x14ac:dyDescent="0.25">
      <c r="A2150" s="1" t="str">
        <f>"2152-2020/27"</f>
        <v>2152-2020/27</v>
      </c>
      <c r="B2150" s="1" t="str">
        <f t="shared" si="373"/>
        <v>05.05.2020</v>
      </c>
      <c r="C2150" s="1" t="str">
        <f t="shared" si="379"/>
        <v>Закрито</v>
      </c>
      <c r="D215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50" s="1" t="str">
        <f t="shared" si="380"/>
        <v>Земельні питання</v>
      </c>
      <c r="F2150" s="1" t="str">
        <f t="shared" si="38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0" s="1" t="str">
        <f>"1"</f>
        <v>1</v>
      </c>
      <c r="H2150" s="1" t="str">
        <f>"Результат"</f>
        <v>Результат</v>
      </c>
      <c r="I2150" s="1" t="str">
        <f>"Позитивний"</f>
        <v>Позитивний</v>
      </c>
      <c r="J2150" s="1" t="str">
        <f>"Так"</f>
        <v>Так</v>
      </c>
    </row>
    <row r="2151" spans="1:10" ht="135" x14ac:dyDescent="0.25">
      <c r="A2151" s="1" t="str">
        <f>"2181-2020/27"</f>
        <v>2181-2020/27</v>
      </c>
      <c r="B2151" s="1" t="str">
        <f t="shared" si="373"/>
        <v>05.05.2020</v>
      </c>
      <c r="C2151" s="1" t="str">
        <f t="shared" si="379"/>
        <v>Закрито</v>
      </c>
      <c r="D215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51" s="1" t="str">
        <f t="shared" si="380"/>
        <v>Земельні питання</v>
      </c>
      <c r="F2151" s="1" t="str">
        <f t="shared" si="38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1" s="1" t="str">
        <f>"3"</f>
        <v>3</v>
      </c>
      <c r="H2151" s="1" t="str">
        <f>"Результат"</f>
        <v>Результат</v>
      </c>
      <c r="I2151" s="1" t="str">
        <f>"Позитивний"</f>
        <v>Позитивний</v>
      </c>
      <c r="J2151" s="1" t="str">
        <f>"Ні"</f>
        <v>Ні</v>
      </c>
    </row>
    <row r="2152" spans="1:10" ht="135" x14ac:dyDescent="0.25">
      <c r="A2152" s="1" t="str">
        <f>"2168-2020/27"</f>
        <v>2168-2020/27</v>
      </c>
      <c r="B2152" s="1" t="str">
        <f t="shared" si="373"/>
        <v>05.05.2020</v>
      </c>
      <c r="C2152" s="1" t="str">
        <f t="shared" si="379"/>
        <v>Закрито</v>
      </c>
      <c r="D21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52" s="1" t="str">
        <f t="shared" si="380"/>
        <v>Земельні питання</v>
      </c>
      <c r="F2152" s="1" t="str">
        <f t="shared" si="38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2" s="1" t="str">
        <f>"1"</f>
        <v>1</v>
      </c>
      <c r="H2152" s="1" t="str">
        <f>"Результат"</f>
        <v>Результат</v>
      </c>
      <c r="I2152" s="1" t="str">
        <f>"Позитивний"</f>
        <v>Позитивний</v>
      </c>
      <c r="J2152" s="1" t="str">
        <f>"Так"</f>
        <v>Так</v>
      </c>
    </row>
    <row r="2153" spans="1:10" ht="135" x14ac:dyDescent="0.25">
      <c r="A2153" s="1" t="str">
        <f>"2219-2020/27"</f>
        <v>2219-2020/27</v>
      </c>
      <c r="B2153" s="1" t="str">
        <f t="shared" ref="B2153:B2201" si="382">"06.05.2020"</f>
        <v>06.05.2020</v>
      </c>
      <c r="C2153" s="1" t="str">
        <f t="shared" si="379"/>
        <v>Закрито</v>
      </c>
      <c r="D215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53" s="1" t="str">
        <f t="shared" si="380"/>
        <v>Земельні питання</v>
      </c>
      <c r="F2153" s="1" t="str">
        <f t="shared" si="38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3" s="1" t="str">
        <f>"3"</f>
        <v>3</v>
      </c>
      <c r="H2153" s="1" t="str">
        <f>"Результат"</f>
        <v>Результат</v>
      </c>
      <c r="I2153" s="1" t="str">
        <f>"Позитивний"</f>
        <v>Позитивний</v>
      </c>
      <c r="J2153" s="1" t="str">
        <f>"Ні"</f>
        <v>Ні</v>
      </c>
    </row>
    <row r="2154" spans="1:10" ht="135" x14ac:dyDescent="0.25">
      <c r="A2154" s="1" t="str">
        <f>"2202-2020/27"</f>
        <v>2202-2020/27</v>
      </c>
      <c r="B2154" s="1" t="str">
        <f t="shared" si="382"/>
        <v>06.05.2020</v>
      </c>
      <c r="C2154" s="1" t="str">
        <f t="shared" si="379"/>
        <v>Закрито</v>
      </c>
      <c r="D215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54" s="1" t="str">
        <f t="shared" si="380"/>
        <v>Земельні питання</v>
      </c>
      <c r="F2154" s="1" t="str">
        <f t="shared" si="38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4" s="1" t="str">
        <f>"1"</f>
        <v>1</v>
      </c>
      <c r="H2154" s="1" t="str">
        <f>"Результат"</f>
        <v>Результат</v>
      </c>
      <c r="I2154" s="1" t="str">
        <f>"Позитивний"</f>
        <v>Позитивний</v>
      </c>
      <c r="J2154" s="1" t="str">
        <f>"Так"</f>
        <v>Так</v>
      </c>
    </row>
    <row r="2155" spans="1:10" ht="90" x14ac:dyDescent="0.25">
      <c r="A2155" s="1" t="str">
        <f>"2231-2020/27"</f>
        <v>2231-2020/27</v>
      </c>
      <c r="B2155" s="1" t="str">
        <f t="shared" si="382"/>
        <v>06.05.2020</v>
      </c>
      <c r="C2155" s="1" t="str">
        <f t="shared" si="379"/>
        <v>Закрито</v>
      </c>
      <c r="D2155" s="1" t="str">
        <f>"Внесення змін до повідомлення про початок виконання підготовчих чи будівельних робіт"</f>
        <v>Внесення змін до повідомлення про початок виконання підготовчих чи будівельних робіт</v>
      </c>
      <c r="E2155" s="1" t="str">
        <f>"Будівництво"</f>
        <v>Будівництво</v>
      </c>
      <c r="F215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155" s="1" t="str">
        <f>"30"</f>
        <v>30</v>
      </c>
      <c r="H2155" s="1" t="str">
        <f>"Результат"</f>
        <v>Результат</v>
      </c>
      <c r="I2155" s="1" t="str">
        <f>"Позитивний"</f>
        <v>Позитивний</v>
      </c>
      <c r="J2155" s="1" t="str">
        <f>"Ні"</f>
        <v>Ні</v>
      </c>
    </row>
    <row r="2156" spans="1:10" ht="135" x14ac:dyDescent="0.25">
      <c r="A2156" s="1" t="str">
        <f>"2211-2020/27"</f>
        <v>2211-2020/27</v>
      </c>
      <c r="B2156" s="1" t="str">
        <f t="shared" si="382"/>
        <v>06.05.2020</v>
      </c>
      <c r="C2156" s="1" t="str">
        <f t="shared" si="379"/>
        <v>Закрито</v>
      </c>
      <c r="D21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56" s="1" t="str">
        <f t="shared" ref="E2156:E2162" si="383">"Земельні питання"</f>
        <v>Земельні питання</v>
      </c>
      <c r="F2156" s="1" t="str">
        <f t="shared" ref="F2156:F2162" si="384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6" s="1" t="str">
        <f>"3"</f>
        <v>3</v>
      </c>
      <c r="H2156" s="1" t="str">
        <f>"Результат"</f>
        <v>Результат</v>
      </c>
      <c r="I2156" s="1" t="str">
        <f>"Позитивний"</f>
        <v>Позитивний</v>
      </c>
      <c r="J2156" s="1" t="str">
        <f>"Ні"</f>
        <v>Ні</v>
      </c>
    </row>
    <row r="2157" spans="1:10" ht="135" x14ac:dyDescent="0.25">
      <c r="A2157" s="1" t="str">
        <f>"2194-2020/27"</f>
        <v>2194-2020/27</v>
      </c>
      <c r="B2157" s="1" t="str">
        <f t="shared" si="382"/>
        <v>06.05.2020</v>
      </c>
      <c r="C2157" s="1" t="str">
        <f t="shared" si="379"/>
        <v>Закрито</v>
      </c>
      <c r="D21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57" s="1" t="str">
        <f t="shared" si="383"/>
        <v>Земельні питання</v>
      </c>
      <c r="F2157" s="1" t="str">
        <f t="shared" si="3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7" s="1" t="str">
        <f>"3"</f>
        <v>3</v>
      </c>
      <c r="H2157" s="1" t="str">
        <f>"Результат"</f>
        <v>Результат</v>
      </c>
      <c r="I2157" s="1" t="str">
        <f>"Позитивний"</f>
        <v>Позитивний</v>
      </c>
      <c r="J2157" s="1" t="str">
        <f>"Ні"</f>
        <v>Ні</v>
      </c>
    </row>
    <row r="2158" spans="1:10" ht="135" x14ac:dyDescent="0.25">
      <c r="A2158" s="1" t="str">
        <f>"2224-2020/27"</f>
        <v>2224-2020/27</v>
      </c>
      <c r="B2158" s="1" t="str">
        <f t="shared" si="382"/>
        <v>06.05.2020</v>
      </c>
      <c r="C2158" s="1" t="str">
        <f t="shared" si="379"/>
        <v>Закрито</v>
      </c>
      <c r="D215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58" s="1" t="str">
        <f t="shared" si="383"/>
        <v>Земельні питання</v>
      </c>
      <c r="F2158" s="1" t="str">
        <f t="shared" si="3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8" s="1" t="str">
        <f>"3"</f>
        <v>3</v>
      </c>
      <c r="H2158" s="1" t="str">
        <f>"Результат"</f>
        <v>Результат</v>
      </c>
      <c r="I2158" s="1" t="str">
        <f>"Позитивний"</f>
        <v>Позитивний</v>
      </c>
      <c r="J2158" s="1" t="str">
        <f>"Ні"</f>
        <v>Ні</v>
      </c>
    </row>
    <row r="2159" spans="1:10" ht="135" x14ac:dyDescent="0.25">
      <c r="A2159" s="1" t="str">
        <f>"2212-2020/27"</f>
        <v>2212-2020/27</v>
      </c>
      <c r="B2159" s="1" t="str">
        <f t="shared" si="382"/>
        <v>06.05.2020</v>
      </c>
      <c r="C2159" s="1" t="str">
        <f t="shared" si="379"/>
        <v>Закрито</v>
      </c>
      <c r="D215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59" s="1" t="str">
        <f t="shared" si="383"/>
        <v>Земельні питання</v>
      </c>
      <c r="F2159" s="1" t="str">
        <f t="shared" si="3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59" s="1" t="str">
        <f>"3"</f>
        <v>3</v>
      </c>
      <c r="H2159" s="1" t="str">
        <f>"Результат"</f>
        <v>Результат</v>
      </c>
      <c r="I2159" s="1" t="str">
        <f>"Позитивний"</f>
        <v>Позитивний</v>
      </c>
      <c r="J2159" s="1" t="str">
        <f>"Ні"</f>
        <v>Ні</v>
      </c>
    </row>
    <row r="2160" spans="1:10" ht="135" x14ac:dyDescent="0.25">
      <c r="A2160" s="1" t="str">
        <f>"2200-2020/27"</f>
        <v>2200-2020/27</v>
      </c>
      <c r="B2160" s="1" t="str">
        <f t="shared" si="382"/>
        <v>06.05.2020</v>
      </c>
      <c r="C2160" s="1" t="str">
        <f t="shared" si="379"/>
        <v>Закрито</v>
      </c>
      <c r="D21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60" s="1" t="str">
        <f t="shared" si="383"/>
        <v>Земельні питання</v>
      </c>
      <c r="F2160" s="1" t="str">
        <f t="shared" si="3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0" s="1" t="str">
        <f>"1"</f>
        <v>1</v>
      </c>
      <c r="H2160" s="1" t="str">
        <f>"Результат"</f>
        <v>Результат</v>
      </c>
      <c r="I2160" s="1" t="str">
        <f>"Позитивний"</f>
        <v>Позитивний</v>
      </c>
      <c r="J2160" s="1" t="str">
        <f>"Так"</f>
        <v>Так</v>
      </c>
    </row>
    <row r="2161" spans="1:10" ht="135" x14ac:dyDescent="0.25">
      <c r="A2161" s="1" t="str">
        <f>"2235-2020/27"</f>
        <v>2235-2020/27</v>
      </c>
      <c r="B2161" s="1" t="str">
        <f t="shared" si="382"/>
        <v>06.05.2020</v>
      </c>
      <c r="C2161" s="1" t="str">
        <f t="shared" si="379"/>
        <v>Закрито</v>
      </c>
      <c r="D21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61" s="1" t="str">
        <f t="shared" si="383"/>
        <v>Земельні питання</v>
      </c>
      <c r="F2161" s="1" t="str">
        <f t="shared" si="3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1" s="1" t="str">
        <f>"1"</f>
        <v>1</v>
      </c>
      <c r="H2161" s="1" t="str">
        <f>"Результат"</f>
        <v>Результат</v>
      </c>
      <c r="I2161" s="1" t="str">
        <f>"Позитивний"</f>
        <v>Позитивний</v>
      </c>
      <c r="J2161" s="1" t="str">
        <f>"Так"</f>
        <v>Так</v>
      </c>
    </row>
    <row r="2162" spans="1:10" ht="135" x14ac:dyDescent="0.25">
      <c r="A2162" s="1" t="str">
        <f>"2229-2020/27"</f>
        <v>2229-2020/27</v>
      </c>
      <c r="B2162" s="1" t="str">
        <f t="shared" si="382"/>
        <v>06.05.2020</v>
      </c>
      <c r="C2162" s="1" t="str">
        <f t="shared" si="379"/>
        <v>Закрито</v>
      </c>
      <c r="D2162" s="1" t="str">
        <f>"Внесення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витягу"</f>
        <v>Внесення до Державного земельного кадастру відомостей про межі частини земельної ділянки, на яку поширюються права суборенди, сервітуту, з видачею витягу</v>
      </c>
      <c r="E2162" s="1" t="str">
        <f t="shared" si="383"/>
        <v>Земельні питання</v>
      </c>
      <c r="F2162" s="1" t="str">
        <f t="shared" si="38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2" s="1" t="str">
        <f>"14"</f>
        <v>14</v>
      </c>
      <c r="H2162" s="1" t="str">
        <f>"Результат"</f>
        <v>Результат</v>
      </c>
      <c r="I2162" s="1" t="str">
        <f>"Позитивний"</f>
        <v>Позитивний</v>
      </c>
      <c r="J2162" s="1" t="str">
        <f>"Ні"</f>
        <v>Ні</v>
      </c>
    </row>
    <row r="2163" spans="1:10" ht="45" x14ac:dyDescent="0.25">
      <c r="A2163" s="1" t="str">
        <f>"2230-2020/27"</f>
        <v>2230-2020/27</v>
      </c>
      <c r="B2163" s="1" t="str">
        <f t="shared" si="382"/>
        <v>06.05.2020</v>
      </c>
      <c r="C2163" s="1" t="str">
        <f t="shared" si="379"/>
        <v>Закрито</v>
      </c>
      <c r="D2163" s="1" t="str">
        <f>"Реєстрація місця проживання особи"</f>
        <v>Реєстрація місця проживання особи</v>
      </c>
      <c r="E2163" s="1" t="str">
        <f>"Реєстрація місця проживання"</f>
        <v>Реєстрація місця проживання</v>
      </c>
      <c r="F2163" s="1" t="str">
        <f>"Відділ реєстрації Новокаховської міської ради"</f>
        <v>Відділ реєстрації Новокаховської міської ради</v>
      </c>
      <c r="G2163" s="1" t="str">
        <f>"1"</f>
        <v>1</v>
      </c>
      <c r="H2163" s="1" t="str">
        <f>"Результат"</f>
        <v>Результат</v>
      </c>
      <c r="I2163" s="1" t="str">
        <f>"Позитивний"</f>
        <v>Позитивний</v>
      </c>
      <c r="J2163" s="1" t="str">
        <f>"Так"</f>
        <v>Так</v>
      </c>
    </row>
    <row r="2164" spans="1:10" ht="135" x14ac:dyDescent="0.25">
      <c r="A2164" s="1" t="str">
        <f>"2218-2020/27"</f>
        <v>2218-2020/27</v>
      </c>
      <c r="B2164" s="1" t="str">
        <f t="shared" si="382"/>
        <v>06.05.2020</v>
      </c>
      <c r="C2164" s="1" t="str">
        <f t="shared" si="379"/>
        <v>Закрито</v>
      </c>
      <c r="D21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64" s="1" t="str">
        <f>"Земельні питання"</f>
        <v>Земельні питання</v>
      </c>
      <c r="F21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4" s="1" t="str">
        <f>"3"</f>
        <v>3</v>
      </c>
      <c r="H2164" s="1" t="str">
        <f>"Результат"</f>
        <v>Результат</v>
      </c>
      <c r="I2164" s="1" t="str">
        <f>"Позитивний"</f>
        <v>Позитивний</v>
      </c>
      <c r="J2164" s="1" t="str">
        <f>"Ні"</f>
        <v>Ні</v>
      </c>
    </row>
    <row r="2165" spans="1:10" ht="135" x14ac:dyDescent="0.25">
      <c r="A2165" s="1" t="str">
        <f>"2214-2020/27"</f>
        <v>2214-2020/27</v>
      </c>
      <c r="B2165" s="1" t="str">
        <f t="shared" si="382"/>
        <v>06.05.2020</v>
      </c>
      <c r="C2165" s="1" t="str">
        <f t="shared" si="379"/>
        <v>Закрито</v>
      </c>
      <c r="D216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65" s="1" t="str">
        <f>"Земельні питання"</f>
        <v>Земельні питання</v>
      </c>
      <c r="F21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5" s="1" t="str">
        <f>"3"</f>
        <v>3</v>
      </c>
      <c r="H2165" s="1" t="str">
        <f>"Результат"</f>
        <v>Результат</v>
      </c>
      <c r="I2165" s="1" t="str">
        <f>"Позитивний"</f>
        <v>Позитивний</v>
      </c>
      <c r="J2165" s="1" t="str">
        <f>"Ні"</f>
        <v>Ні</v>
      </c>
    </row>
    <row r="2166" spans="1:10" ht="45" x14ac:dyDescent="0.25">
      <c r="A2166" s="1" t="str">
        <f>"2210-2020/27"</f>
        <v>2210-2020/27</v>
      </c>
      <c r="B2166" s="1" t="str">
        <f t="shared" si="382"/>
        <v>06.05.2020</v>
      </c>
      <c r="C2166" s="1" t="str">
        <f t="shared" si="379"/>
        <v>Закрито</v>
      </c>
      <c r="D2166" s="1" t="str">
        <f>"Зняття з реєстрації місця проживання"</f>
        <v>Зняття з реєстрації місця проживання</v>
      </c>
      <c r="E2166" s="1" t="str">
        <f>"Реєстрація місця проживання"</f>
        <v>Реєстрація місця проживання</v>
      </c>
      <c r="F2166" s="1" t="str">
        <f>"Відділ реєстрації Новокаховської міської ради"</f>
        <v>Відділ реєстрації Новокаховської міської ради</v>
      </c>
      <c r="G2166" s="1" t="str">
        <f>"1"</f>
        <v>1</v>
      </c>
      <c r="H2166" s="1" t="str">
        <f>"Результат"</f>
        <v>Результат</v>
      </c>
      <c r="I2166" s="1" t="str">
        <f>"Позитивний"</f>
        <v>Позитивний</v>
      </c>
      <c r="J2166" s="1" t="str">
        <f>"Так"</f>
        <v>Так</v>
      </c>
    </row>
    <row r="2167" spans="1:10" ht="120" x14ac:dyDescent="0.25">
      <c r="A2167" s="1" t="str">
        <f>"2209-2020/27"</f>
        <v>2209-2020/27</v>
      </c>
      <c r="B2167" s="1" t="str">
        <f t="shared" si="382"/>
        <v>06.05.2020</v>
      </c>
      <c r="C2167" s="1" t="str">
        <f t="shared" si="379"/>
        <v>Закрито</v>
      </c>
      <c r="D2167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167" s="1" t="str">
        <f>"Будівництво"</f>
        <v>Будівництво</v>
      </c>
      <c r="F216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167" s="1" t="str">
        <f>"10"</f>
        <v>10</v>
      </c>
      <c r="H2167" s="1" t="str">
        <f>"Результат"</f>
        <v>Результат</v>
      </c>
      <c r="I2167" s="1" t="str">
        <f>"Позитивний"</f>
        <v>Позитивний</v>
      </c>
      <c r="J2167" s="1" t="str">
        <f>"Ні"</f>
        <v>Ні</v>
      </c>
    </row>
    <row r="2168" spans="1:10" ht="135" x14ac:dyDescent="0.25">
      <c r="A2168" s="1" t="str">
        <f>"2208-2020/27"</f>
        <v>2208-2020/27</v>
      </c>
      <c r="B2168" s="1" t="str">
        <f t="shared" si="382"/>
        <v>06.05.2020</v>
      </c>
      <c r="C2168" s="1" t="str">
        <f t="shared" si="379"/>
        <v>Закрито</v>
      </c>
      <c r="D216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68" s="1" t="str">
        <f t="shared" ref="E2168:E2177" si="385">"Земельні питання"</f>
        <v>Земельні питання</v>
      </c>
      <c r="F2168" s="1" t="str">
        <f t="shared" ref="F2168:F2177" si="386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8" s="1" t="str">
        <f>"1"</f>
        <v>1</v>
      </c>
      <c r="H2168" s="1" t="str">
        <f>"Результат"</f>
        <v>Результат</v>
      </c>
      <c r="I2168" s="1" t="str">
        <f>"Позитивний"</f>
        <v>Позитивний</v>
      </c>
      <c r="J2168" s="1" t="str">
        <f>"Так"</f>
        <v>Так</v>
      </c>
    </row>
    <row r="2169" spans="1:10" ht="135" x14ac:dyDescent="0.25">
      <c r="A2169" s="1" t="str">
        <f>"2227-2020/27"</f>
        <v>2227-2020/27</v>
      </c>
      <c r="B2169" s="1" t="str">
        <f t="shared" si="382"/>
        <v>06.05.2020</v>
      </c>
      <c r="C2169" s="1" t="str">
        <f t="shared" si="379"/>
        <v>Закрито</v>
      </c>
      <c r="D216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69" s="1" t="str">
        <f t="shared" si="385"/>
        <v>Земельні питання</v>
      </c>
      <c r="F2169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69" s="1" t="str">
        <f>"1"</f>
        <v>1</v>
      </c>
      <c r="H2169" s="1" t="str">
        <f>"Результат"</f>
        <v>Результат</v>
      </c>
      <c r="I2169" s="1" t="str">
        <f>"Позитивний"</f>
        <v>Позитивний</v>
      </c>
      <c r="J2169" s="1" t="str">
        <f>"Так"</f>
        <v>Так</v>
      </c>
    </row>
    <row r="2170" spans="1:10" ht="135" x14ac:dyDescent="0.25">
      <c r="A2170" s="1" t="str">
        <f>"2206-2020/27"</f>
        <v>2206-2020/27</v>
      </c>
      <c r="B2170" s="1" t="str">
        <f t="shared" si="382"/>
        <v>06.05.2020</v>
      </c>
      <c r="C2170" s="1" t="str">
        <f t="shared" si="379"/>
        <v>Закрито</v>
      </c>
      <c r="D21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70" s="1" t="str">
        <f t="shared" si="385"/>
        <v>Земельні питання</v>
      </c>
      <c r="F2170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0" s="1" t="str">
        <f>"1"</f>
        <v>1</v>
      </c>
      <c r="H2170" s="1" t="str">
        <f>"Результат"</f>
        <v>Результат</v>
      </c>
      <c r="I2170" s="1" t="str">
        <f>"Позитивний"</f>
        <v>Позитивний</v>
      </c>
      <c r="J2170" s="1" t="str">
        <f>"Так"</f>
        <v>Так</v>
      </c>
    </row>
    <row r="2171" spans="1:10" ht="135" x14ac:dyDescent="0.25">
      <c r="A2171" s="1" t="str">
        <f>"2196-2020/27"</f>
        <v>2196-2020/27</v>
      </c>
      <c r="B2171" s="1" t="str">
        <f t="shared" si="382"/>
        <v>06.05.2020</v>
      </c>
      <c r="C2171" s="1" t="str">
        <f t="shared" si="379"/>
        <v>Закрито</v>
      </c>
      <c r="D21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71" s="1" t="str">
        <f t="shared" si="385"/>
        <v>Земельні питання</v>
      </c>
      <c r="F2171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1" s="1" t="str">
        <f>"1"</f>
        <v>1</v>
      </c>
      <c r="H2171" s="1" t="str">
        <f>"Результат"</f>
        <v>Результат</v>
      </c>
      <c r="I2171" s="1" t="str">
        <f>"Позитивний"</f>
        <v>Позитивний</v>
      </c>
      <c r="J2171" s="1" t="str">
        <f>"Так"</f>
        <v>Так</v>
      </c>
    </row>
    <row r="2172" spans="1:10" ht="135" x14ac:dyDescent="0.25">
      <c r="A2172" s="1" t="str">
        <f>"2221-2020/27"</f>
        <v>2221-2020/27</v>
      </c>
      <c r="B2172" s="1" t="str">
        <f t="shared" si="382"/>
        <v>06.05.2020</v>
      </c>
      <c r="C2172" s="1" t="str">
        <f t="shared" si="379"/>
        <v>Закрито</v>
      </c>
      <c r="D217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72" s="1" t="str">
        <f t="shared" si="385"/>
        <v>Земельні питання</v>
      </c>
      <c r="F2172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2" s="1" t="str">
        <f>"3"</f>
        <v>3</v>
      </c>
      <c r="H2172" s="1" t="str">
        <f>"Результат"</f>
        <v>Результат</v>
      </c>
      <c r="I2172" s="1" t="str">
        <f>"Позитивний"</f>
        <v>Позитивний</v>
      </c>
      <c r="J2172" s="1" t="str">
        <f>"Ні"</f>
        <v>Ні</v>
      </c>
    </row>
    <row r="2173" spans="1:10" ht="135" x14ac:dyDescent="0.25">
      <c r="A2173" s="1" t="str">
        <f>"2216-2020/27"</f>
        <v>2216-2020/27</v>
      </c>
      <c r="B2173" s="1" t="str">
        <f t="shared" si="382"/>
        <v>06.05.2020</v>
      </c>
      <c r="C2173" s="1" t="str">
        <f t="shared" si="379"/>
        <v>Закрито</v>
      </c>
      <c r="D217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73" s="1" t="str">
        <f t="shared" si="385"/>
        <v>Земельні питання</v>
      </c>
      <c r="F2173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3" s="1" t="str">
        <f>"3"</f>
        <v>3</v>
      </c>
      <c r="H2173" s="1" t="str">
        <f>"Результат"</f>
        <v>Результат</v>
      </c>
      <c r="I2173" s="1" t="str">
        <f>"Позитивний"</f>
        <v>Позитивний</v>
      </c>
      <c r="J2173" s="1" t="str">
        <f>"Ні"</f>
        <v>Ні</v>
      </c>
    </row>
    <row r="2174" spans="1:10" ht="135" x14ac:dyDescent="0.25">
      <c r="A2174" s="1" t="str">
        <f>"2220-2020/27"</f>
        <v>2220-2020/27</v>
      </c>
      <c r="B2174" s="1" t="str">
        <f t="shared" si="382"/>
        <v>06.05.2020</v>
      </c>
      <c r="C2174" s="1" t="str">
        <f t="shared" si="379"/>
        <v>Закрито</v>
      </c>
      <c r="D217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74" s="1" t="str">
        <f t="shared" si="385"/>
        <v>Земельні питання</v>
      </c>
      <c r="F2174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4" s="1" t="str">
        <f>"3"</f>
        <v>3</v>
      </c>
      <c r="H2174" s="1" t="str">
        <f>"Результат"</f>
        <v>Результат</v>
      </c>
      <c r="I2174" s="1" t="str">
        <f>"Позитивний"</f>
        <v>Позитивний</v>
      </c>
      <c r="J2174" s="1" t="str">
        <f>"Ні"</f>
        <v>Ні</v>
      </c>
    </row>
    <row r="2175" spans="1:10" ht="135" x14ac:dyDescent="0.25">
      <c r="A2175" s="1" t="str">
        <f>"2234-2020/27"</f>
        <v>2234-2020/27</v>
      </c>
      <c r="B2175" s="1" t="str">
        <f t="shared" si="382"/>
        <v>06.05.2020</v>
      </c>
      <c r="C2175" s="1" t="str">
        <f t="shared" si="379"/>
        <v>Закрито</v>
      </c>
      <c r="D217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75" s="1" t="str">
        <f t="shared" si="385"/>
        <v>Земельні питання</v>
      </c>
      <c r="F2175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5" s="1" t="str">
        <f>"1"</f>
        <v>1</v>
      </c>
      <c r="H2175" s="1" t="str">
        <f>"Результат"</f>
        <v>Результат</v>
      </c>
      <c r="I2175" s="1" t="str">
        <f>"Позитивний"</f>
        <v>Позитивний</v>
      </c>
      <c r="J2175" s="1" t="str">
        <f>"Так"</f>
        <v>Так</v>
      </c>
    </row>
    <row r="2176" spans="1:10" ht="135" x14ac:dyDescent="0.25">
      <c r="A2176" s="1" t="str">
        <f>"2222-2020/27"</f>
        <v>2222-2020/27</v>
      </c>
      <c r="B2176" s="1" t="str">
        <f t="shared" si="382"/>
        <v>06.05.2020</v>
      </c>
      <c r="C2176" s="1" t="str">
        <f t="shared" si="379"/>
        <v>Закрито</v>
      </c>
      <c r="D217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76" s="1" t="str">
        <f t="shared" si="385"/>
        <v>Земельні питання</v>
      </c>
      <c r="F2176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6" s="1" t="str">
        <f>"3"</f>
        <v>3</v>
      </c>
      <c r="H2176" s="1" t="str">
        <f>"Результат"</f>
        <v>Результат</v>
      </c>
      <c r="I2176" s="1" t="str">
        <f>"Позитивний"</f>
        <v>Позитивний</v>
      </c>
      <c r="J2176" s="1" t="str">
        <f>"Ні"</f>
        <v>Ні</v>
      </c>
    </row>
    <row r="2177" spans="1:10" ht="135" x14ac:dyDescent="0.25">
      <c r="A2177" s="1" t="str">
        <f>"2201-2020/27"</f>
        <v>2201-2020/27</v>
      </c>
      <c r="B2177" s="1" t="str">
        <f t="shared" si="382"/>
        <v>06.05.2020</v>
      </c>
      <c r="C2177" s="1" t="str">
        <f t="shared" si="379"/>
        <v>Закрито</v>
      </c>
      <c r="D217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77" s="1" t="str">
        <f t="shared" si="385"/>
        <v>Земельні питання</v>
      </c>
      <c r="F2177" s="1" t="str">
        <f t="shared" si="386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7" s="1" t="str">
        <f>"1"</f>
        <v>1</v>
      </c>
      <c r="H2177" s="1" t="str">
        <f>"Результат"</f>
        <v>Результат</v>
      </c>
      <c r="I2177" s="1" t="str">
        <f>"Позитивний"</f>
        <v>Позитивний</v>
      </c>
      <c r="J2177" s="1" t="str">
        <f>"Так"</f>
        <v>Так</v>
      </c>
    </row>
    <row r="2178" spans="1:10" ht="225" x14ac:dyDescent="0.25">
      <c r="A2178" s="1" t="str">
        <f>"2242-2020/27"</f>
        <v>2242-2020/27</v>
      </c>
      <c r="B2178" s="1" t="str">
        <f t="shared" si="382"/>
        <v>06.05.2020</v>
      </c>
      <c r="C2178" s="1" t="str">
        <f>"На обробці в адмін. органі"</f>
        <v>На обробці в адмін. органі</v>
      </c>
      <c r="D2178" s="1" t="s">
        <v>1</v>
      </c>
      <c r="E2178" s="1" t="str">
        <f>"Будівництво"</f>
        <v>Будівництво</v>
      </c>
      <c r="F217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178" s="1" t="str">
        <f>"30"</f>
        <v>30</v>
      </c>
      <c r="H2178" s="1" t="str">
        <f>""</f>
        <v/>
      </c>
      <c r="I2178" s="1" t="str">
        <f>""</f>
        <v/>
      </c>
      <c r="J2178" s="1" t="str">
        <f>"Ні"</f>
        <v>Ні</v>
      </c>
    </row>
    <row r="2179" spans="1:10" ht="135" x14ac:dyDescent="0.25">
      <c r="A2179" s="1" t="str">
        <f>"2197-2020/27"</f>
        <v>2197-2020/27</v>
      </c>
      <c r="B2179" s="1" t="str">
        <f t="shared" si="382"/>
        <v>06.05.2020</v>
      </c>
      <c r="C2179" s="1" t="str">
        <f t="shared" ref="C2179:C2242" si="387">"Закрито"</f>
        <v>Закрито</v>
      </c>
      <c r="D217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79" s="1" t="str">
        <f>"Земельні питання"</f>
        <v>Земельні питання</v>
      </c>
      <c r="F21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79" s="1" t="str">
        <f>"1"</f>
        <v>1</v>
      </c>
      <c r="H2179" s="1" t="str">
        <f>"Результат"</f>
        <v>Результат</v>
      </c>
      <c r="I2179" s="1" t="str">
        <f>"Позитивний"</f>
        <v>Позитивний</v>
      </c>
      <c r="J2179" s="1" t="str">
        <f>"Так"</f>
        <v>Так</v>
      </c>
    </row>
    <row r="2180" spans="1:10" ht="135" x14ac:dyDescent="0.25">
      <c r="A2180" s="1" t="str">
        <f>"2195-2020/27"</f>
        <v>2195-2020/27</v>
      </c>
      <c r="B2180" s="1" t="str">
        <f t="shared" si="382"/>
        <v>06.05.2020</v>
      </c>
      <c r="C2180" s="1" t="str">
        <f t="shared" si="387"/>
        <v>Закрито</v>
      </c>
      <c r="D218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80" s="1" t="str">
        <f>"Земельні питання"</f>
        <v>Земельні питання</v>
      </c>
      <c r="F21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0" s="1" t="str">
        <f>"1"</f>
        <v>1</v>
      </c>
      <c r="H2180" s="1" t="str">
        <f>"Результат"</f>
        <v>Результат</v>
      </c>
      <c r="I2180" s="1" t="str">
        <f>"Позитивний"</f>
        <v>Позитивний</v>
      </c>
      <c r="J2180" s="1" t="str">
        <f>"Так"</f>
        <v>Так</v>
      </c>
    </row>
    <row r="2181" spans="1:10" ht="135" x14ac:dyDescent="0.25">
      <c r="A2181" s="1" t="str">
        <f>"2215-2020/27"</f>
        <v>2215-2020/27</v>
      </c>
      <c r="B2181" s="1" t="str">
        <f t="shared" si="382"/>
        <v>06.05.2020</v>
      </c>
      <c r="C2181" s="1" t="str">
        <f t="shared" si="387"/>
        <v>Закрито</v>
      </c>
      <c r="D218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81" s="1" t="str">
        <f>"Земельні питання"</f>
        <v>Земельні питання</v>
      </c>
      <c r="F21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1" s="1" t="str">
        <f>"3"</f>
        <v>3</v>
      </c>
      <c r="H2181" s="1" t="str">
        <f>"Результат"</f>
        <v>Результат</v>
      </c>
      <c r="I2181" s="1" t="str">
        <f>"Позитивний"</f>
        <v>Позитивний</v>
      </c>
      <c r="J2181" s="1" t="str">
        <f>"Ні"</f>
        <v>Ні</v>
      </c>
    </row>
    <row r="2182" spans="1:10" ht="135" x14ac:dyDescent="0.25">
      <c r="A2182" s="1" t="str">
        <f>"2217-2020/27"</f>
        <v>2217-2020/27</v>
      </c>
      <c r="B2182" s="1" t="str">
        <f t="shared" si="382"/>
        <v>06.05.2020</v>
      </c>
      <c r="C2182" s="1" t="str">
        <f t="shared" si="387"/>
        <v>Закрито</v>
      </c>
      <c r="D218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82" s="1" t="str">
        <f>"Земельні питання"</f>
        <v>Земельні питання</v>
      </c>
      <c r="F21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2" s="1" t="str">
        <f>"3"</f>
        <v>3</v>
      </c>
      <c r="H2182" s="1" t="str">
        <f>"Результат"</f>
        <v>Результат</v>
      </c>
      <c r="I2182" s="1" t="str">
        <f>"Позитивний"</f>
        <v>Позитивний</v>
      </c>
      <c r="J2182" s="1" t="str">
        <f>"Ні"</f>
        <v>Ні</v>
      </c>
    </row>
    <row r="2183" spans="1:10" ht="135" x14ac:dyDescent="0.25">
      <c r="A2183" s="1" t="str">
        <f>"2198-2020/27"</f>
        <v>2198-2020/27</v>
      </c>
      <c r="B2183" s="1" t="str">
        <f t="shared" si="382"/>
        <v>06.05.2020</v>
      </c>
      <c r="C2183" s="1" t="str">
        <f t="shared" si="387"/>
        <v>Закрито</v>
      </c>
      <c r="D21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83" s="1" t="str">
        <f>"Земельні питання"</f>
        <v>Земельні питання</v>
      </c>
      <c r="F21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3" s="1" t="str">
        <f>"1"</f>
        <v>1</v>
      </c>
      <c r="H2183" s="1" t="str">
        <f>"Результат"</f>
        <v>Результат</v>
      </c>
      <c r="I2183" s="1" t="str">
        <f>"Позитивний"</f>
        <v>Позитивний</v>
      </c>
      <c r="J2183" s="1" t="str">
        <f>"Так"</f>
        <v>Так</v>
      </c>
    </row>
    <row r="2184" spans="1:10" ht="120" x14ac:dyDescent="0.25">
      <c r="A2184" s="1" t="str">
        <f>"2232-2020/27"</f>
        <v>2232-2020/27</v>
      </c>
      <c r="B2184" s="1" t="str">
        <f t="shared" si="382"/>
        <v>06.05.2020</v>
      </c>
      <c r="C2184" s="1" t="str">
        <f t="shared" si="387"/>
        <v>Закрито</v>
      </c>
      <c r="D2184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184" s="1" t="str">
        <f>"Будівництво"</f>
        <v>Будівництво</v>
      </c>
      <c r="F218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184" s="1" t="str">
        <f>"10"</f>
        <v>10</v>
      </c>
      <c r="H2184" s="1" t="str">
        <f>"Результат"</f>
        <v>Результат</v>
      </c>
      <c r="I2184" s="1" t="str">
        <f>"Позитивний"</f>
        <v>Позитивний</v>
      </c>
      <c r="J2184" s="1" t="str">
        <f>"Ні"</f>
        <v>Ні</v>
      </c>
    </row>
    <row r="2185" spans="1:10" ht="135" x14ac:dyDescent="0.25">
      <c r="A2185" s="1" t="str">
        <f>"2193-2020/27"</f>
        <v>2193-2020/27</v>
      </c>
      <c r="B2185" s="1" t="str">
        <f t="shared" si="382"/>
        <v>06.05.2020</v>
      </c>
      <c r="C2185" s="1" t="str">
        <f t="shared" si="387"/>
        <v>Закрито</v>
      </c>
      <c r="D218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85" s="1" t="str">
        <f t="shared" ref="E2185:E2194" si="388">"Земельні питання"</f>
        <v>Земельні питання</v>
      </c>
      <c r="F2185" s="1" t="str">
        <f t="shared" ref="F2185:F2194" si="389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5" s="1" t="str">
        <f>"1"</f>
        <v>1</v>
      </c>
      <c r="H2185" s="1" t="str">
        <f>"Результат"</f>
        <v>Результат</v>
      </c>
      <c r="I2185" s="1" t="str">
        <f>"Позитивний"</f>
        <v>Позитивний</v>
      </c>
      <c r="J2185" s="1" t="str">
        <f>"Так"</f>
        <v>Так</v>
      </c>
    </row>
    <row r="2186" spans="1:10" ht="135" x14ac:dyDescent="0.25">
      <c r="A2186" s="1" t="str">
        <f>"2226-2020/27"</f>
        <v>2226-2020/27</v>
      </c>
      <c r="B2186" s="1" t="str">
        <f t="shared" si="382"/>
        <v>06.05.2020</v>
      </c>
      <c r="C2186" s="1" t="str">
        <f t="shared" si="387"/>
        <v>Закрито</v>
      </c>
      <c r="D218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86" s="1" t="str">
        <f t="shared" si="388"/>
        <v>Земельні питання</v>
      </c>
      <c r="F2186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6" s="1" t="str">
        <f>"3"</f>
        <v>3</v>
      </c>
      <c r="H2186" s="1" t="str">
        <f>"Результат"</f>
        <v>Результат</v>
      </c>
      <c r="I2186" s="1" t="str">
        <f>"Позитивний"</f>
        <v>Позитивний</v>
      </c>
      <c r="J2186" s="1" t="str">
        <f>"Ні"</f>
        <v>Ні</v>
      </c>
    </row>
    <row r="2187" spans="1:10" ht="135" x14ac:dyDescent="0.25">
      <c r="A2187" s="1" t="str">
        <f>"2239-2020/27"</f>
        <v>2239-2020/27</v>
      </c>
      <c r="B2187" s="1" t="str">
        <f t="shared" si="382"/>
        <v>06.05.2020</v>
      </c>
      <c r="C2187" s="1" t="str">
        <f t="shared" si="387"/>
        <v>Закрито</v>
      </c>
      <c r="D218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87" s="1" t="str">
        <f t="shared" si="388"/>
        <v>Земельні питання</v>
      </c>
      <c r="F2187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7" s="1" t="str">
        <f>"3"</f>
        <v>3</v>
      </c>
      <c r="H2187" s="1" t="str">
        <f>"Результат"</f>
        <v>Результат</v>
      </c>
      <c r="I2187" s="1" t="str">
        <f>"Позитивний"</f>
        <v>Позитивний</v>
      </c>
      <c r="J2187" s="1" t="str">
        <f>"Ні"</f>
        <v>Ні</v>
      </c>
    </row>
    <row r="2188" spans="1:10" ht="135" x14ac:dyDescent="0.25">
      <c r="A2188" s="1" t="str">
        <f>"2203-2020/27"</f>
        <v>2203-2020/27</v>
      </c>
      <c r="B2188" s="1" t="str">
        <f t="shared" si="382"/>
        <v>06.05.2020</v>
      </c>
      <c r="C2188" s="1" t="str">
        <f t="shared" si="387"/>
        <v>Закрито</v>
      </c>
      <c r="D218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88" s="1" t="str">
        <f t="shared" si="388"/>
        <v>Земельні питання</v>
      </c>
      <c r="F2188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8" s="1" t="str">
        <f>"1"</f>
        <v>1</v>
      </c>
      <c r="H2188" s="1" t="str">
        <f>"Результат"</f>
        <v>Результат</v>
      </c>
      <c r="I2188" s="1" t="str">
        <f>"Позитивний"</f>
        <v>Позитивний</v>
      </c>
      <c r="J2188" s="1" t="str">
        <f>"Так"</f>
        <v>Так</v>
      </c>
    </row>
    <row r="2189" spans="1:10" ht="135" x14ac:dyDescent="0.25">
      <c r="A2189" s="1" t="str">
        <f>"2204-2020/27"</f>
        <v>2204-2020/27</v>
      </c>
      <c r="B2189" s="1" t="str">
        <f t="shared" si="382"/>
        <v>06.05.2020</v>
      </c>
      <c r="C2189" s="1" t="str">
        <f t="shared" si="387"/>
        <v>Закрито</v>
      </c>
      <c r="D21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89" s="1" t="str">
        <f t="shared" si="388"/>
        <v>Земельні питання</v>
      </c>
      <c r="F2189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89" s="1" t="str">
        <f>"1"</f>
        <v>1</v>
      </c>
      <c r="H2189" s="1" t="str">
        <f>"Результат"</f>
        <v>Результат</v>
      </c>
      <c r="I2189" s="1" t="str">
        <f>"Позитивний"</f>
        <v>Позитивний</v>
      </c>
      <c r="J2189" s="1" t="str">
        <f>"Так"</f>
        <v>Так</v>
      </c>
    </row>
    <row r="2190" spans="1:10" ht="135" x14ac:dyDescent="0.25">
      <c r="A2190" s="1" t="str">
        <f>"2233-2020/27"</f>
        <v>2233-2020/27</v>
      </c>
      <c r="B2190" s="1" t="str">
        <f t="shared" si="382"/>
        <v>06.05.2020</v>
      </c>
      <c r="C2190" s="1" t="str">
        <f t="shared" si="387"/>
        <v>Закрито</v>
      </c>
      <c r="D21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0" s="1" t="str">
        <f t="shared" si="388"/>
        <v>Земельні питання</v>
      </c>
      <c r="F2190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0" s="1" t="str">
        <f>"1"</f>
        <v>1</v>
      </c>
      <c r="H2190" s="1" t="str">
        <f>"Результат"</f>
        <v>Результат</v>
      </c>
      <c r="I2190" s="1" t="str">
        <f>"Позитивний"</f>
        <v>Позитивний</v>
      </c>
      <c r="J2190" s="1" t="str">
        <f>"Так"</f>
        <v>Так</v>
      </c>
    </row>
    <row r="2191" spans="1:10" ht="135" x14ac:dyDescent="0.25">
      <c r="A2191" s="1" t="str">
        <f>"2236-2020/27"</f>
        <v>2236-2020/27</v>
      </c>
      <c r="B2191" s="1" t="str">
        <f t="shared" si="382"/>
        <v>06.05.2020</v>
      </c>
      <c r="C2191" s="1" t="str">
        <f t="shared" si="387"/>
        <v>Закрито</v>
      </c>
      <c r="D21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1" s="1" t="str">
        <f t="shared" si="388"/>
        <v>Земельні питання</v>
      </c>
      <c r="F2191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1" s="1" t="str">
        <f>"1"</f>
        <v>1</v>
      </c>
      <c r="H2191" s="1" t="str">
        <f>"Результат"</f>
        <v>Результат</v>
      </c>
      <c r="I2191" s="1" t="str">
        <f>"Позитивний"</f>
        <v>Позитивний</v>
      </c>
      <c r="J2191" s="1" t="str">
        <f>"Так"</f>
        <v>Так</v>
      </c>
    </row>
    <row r="2192" spans="1:10" ht="135" x14ac:dyDescent="0.25">
      <c r="A2192" s="1" t="str">
        <f>"2238-2020/27"</f>
        <v>2238-2020/27</v>
      </c>
      <c r="B2192" s="1" t="str">
        <f t="shared" si="382"/>
        <v>06.05.2020</v>
      </c>
      <c r="C2192" s="1" t="str">
        <f t="shared" si="387"/>
        <v>Закрито</v>
      </c>
      <c r="D21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2" s="1" t="str">
        <f t="shared" si="388"/>
        <v>Земельні питання</v>
      </c>
      <c r="F2192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2" s="1" t="str">
        <f>"1"</f>
        <v>1</v>
      </c>
      <c r="H2192" s="1" t="str">
        <f>"Результат"</f>
        <v>Результат</v>
      </c>
      <c r="I2192" s="1" t="str">
        <f>"Позитивний"</f>
        <v>Позитивний</v>
      </c>
      <c r="J2192" s="1" t="str">
        <f>"Так"</f>
        <v>Так</v>
      </c>
    </row>
    <row r="2193" spans="1:10" ht="135" x14ac:dyDescent="0.25">
      <c r="A2193" s="1" t="str">
        <f>"2240-2020/27"</f>
        <v>2240-2020/27</v>
      </c>
      <c r="B2193" s="1" t="str">
        <f t="shared" si="382"/>
        <v>06.05.2020</v>
      </c>
      <c r="C2193" s="1" t="str">
        <f t="shared" si="387"/>
        <v>Закрито</v>
      </c>
      <c r="D21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93" s="1" t="str">
        <f t="shared" si="388"/>
        <v>Земельні питання</v>
      </c>
      <c r="F2193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3" s="1" t="str">
        <f>"3"</f>
        <v>3</v>
      </c>
      <c r="H2193" s="1" t="str">
        <f>"Результат"</f>
        <v>Результат</v>
      </c>
      <c r="I2193" s="1" t="str">
        <f>"Позитивний"</f>
        <v>Позитивний</v>
      </c>
      <c r="J2193" s="1" t="str">
        <f>"Ні"</f>
        <v>Ні</v>
      </c>
    </row>
    <row r="2194" spans="1:10" ht="135" x14ac:dyDescent="0.25">
      <c r="A2194" s="1" t="str">
        <f>"2223-2020/27"</f>
        <v>2223-2020/27</v>
      </c>
      <c r="B2194" s="1" t="str">
        <f t="shared" si="382"/>
        <v>06.05.2020</v>
      </c>
      <c r="C2194" s="1" t="str">
        <f t="shared" si="387"/>
        <v>Закрито</v>
      </c>
      <c r="D21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94" s="1" t="str">
        <f t="shared" si="388"/>
        <v>Земельні питання</v>
      </c>
      <c r="F2194" s="1" t="str">
        <f t="shared" si="389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4" s="1" t="str">
        <f>"3"</f>
        <v>3</v>
      </c>
      <c r="H2194" s="1" t="str">
        <f>"Результат"</f>
        <v>Результат</v>
      </c>
      <c r="I2194" s="1" t="str">
        <f>"Позитивний"</f>
        <v>Позитивний</v>
      </c>
      <c r="J2194" s="1" t="str">
        <f>"Ні"</f>
        <v>Ні</v>
      </c>
    </row>
    <row r="2195" spans="1:10" ht="45" x14ac:dyDescent="0.25">
      <c r="A2195" s="1" t="str">
        <f>"2228-2020/27"</f>
        <v>2228-2020/27</v>
      </c>
      <c r="B2195" s="1" t="str">
        <f t="shared" si="382"/>
        <v>06.05.2020</v>
      </c>
      <c r="C2195" s="1" t="str">
        <f t="shared" si="387"/>
        <v>Закрито</v>
      </c>
      <c r="D2195" s="1" t="str">
        <f>"Зняття з реєстрації місця проживання"</f>
        <v>Зняття з реєстрації місця проживання</v>
      </c>
      <c r="E2195" s="1" t="str">
        <f>"Реєстрація місця проживання"</f>
        <v>Реєстрація місця проживання</v>
      </c>
      <c r="F2195" s="1" t="str">
        <f>"Відділ реєстрації Новокаховської міської ради"</f>
        <v>Відділ реєстрації Новокаховської міської ради</v>
      </c>
      <c r="G2195" s="1" t="str">
        <f>"1"</f>
        <v>1</v>
      </c>
      <c r="H2195" s="1" t="str">
        <f>"Результат"</f>
        <v>Результат</v>
      </c>
      <c r="I2195" s="1" t="str">
        <f>"Позитивний"</f>
        <v>Позитивний</v>
      </c>
      <c r="J2195" s="1" t="str">
        <f>"Так"</f>
        <v>Так</v>
      </c>
    </row>
    <row r="2196" spans="1:10" ht="135" x14ac:dyDescent="0.25">
      <c r="A2196" s="1" t="str">
        <f>"2225-2020/27"</f>
        <v>2225-2020/27</v>
      </c>
      <c r="B2196" s="1" t="str">
        <f t="shared" si="382"/>
        <v>06.05.2020</v>
      </c>
      <c r="C2196" s="1" t="str">
        <f t="shared" si="387"/>
        <v>Закрито</v>
      </c>
      <c r="D219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96" s="1" t="str">
        <f t="shared" ref="E2196:E2208" si="390">"Земельні питання"</f>
        <v>Земельні питання</v>
      </c>
      <c r="F2196" s="1" t="str">
        <f t="shared" ref="F2196:F2208" si="391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6" s="1" t="str">
        <f>"3"</f>
        <v>3</v>
      </c>
      <c r="H2196" s="1" t="str">
        <f>"Результат"</f>
        <v>Результат</v>
      </c>
      <c r="I2196" s="1" t="str">
        <f>"Позитивний"</f>
        <v>Позитивний</v>
      </c>
      <c r="J2196" s="1" t="str">
        <f>"Ні"</f>
        <v>Ні</v>
      </c>
    </row>
    <row r="2197" spans="1:10" ht="135" x14ac:dyDescent="0.25">
      <c r="A2197" s="1" t="str">
        <f>"2199-2020/27"</f>
        <v>2199-2020/27</v>
      </c>
      <c r="B2197" s="1" t="str">
        <f t="shared" si="382"/>
        <v>06.05.2020</v>
      </c>
      <c r="C2197" s="1" t="str">
        <f t="shared" si="387"/>
        <v>Закрито</v>
      </c>
      <c r="D219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7" s="1" t="str">
        <f t="shared" si="390"/>
        <v>Земельні питання</v>
      </c>
      <c r="F2197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7" s="1" t="str">
        <f>"1"</f>
        <v>1</v>
      </c>
      <c r="H2197" s="1" t="str">
        <f>"Результат"</f>
        <v>Результат</v>
      </c>
      <c r="I2197" s="1" t="str">
        <f>"Позитивний"</f>
        <v>Позитивний</v>
      </c>
      <c r="J2197" s="1" t="str">
        <f>"Так"</f>
        <v>Так</v>
      </c>
    </row>
    <row r="2198" spans="1:10" ht="135" x14ac:dyDescent="0.25">
      <c r="A2198" s="1" t="str">
        <f>"2207-2020/27"</f>
        <v>2207-2020/27</v>
      </c>
      <c r="B2198" s="1" t="str">
        <f t="shared" si="382"/>
        <v>06.05.2020</v>
      </c>
      <c r="C2198" s="1" t="str">
        <f t="shared" si="387"/>
        <v>Закрито</v>
      </c>
      <c r="D219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198" s="1" t="str">
        <f t="shared" si="390"/>
        <v>Земельні питання</v>
      </c>
      <c r="F2198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8" s="1" t="str">
        <f>"1"</f>
        <v>1</v>
      </c>
      <c r="H2198" s="1" t="str">
        <f>"Результат"</f>
        <v>Результат</v>
      </c>
      <c r="I2198" s="1" t="str">
        <f>"Позитивний"</f>
        <v>Позитивний</v>
      </c>
      <c r="J2198" s="1" t="str">
        <f>"Так"</f>
        <v>Так</v>
      </c>
    </row>
    <row r="2199" spans="1:10" ht="135" x14ac:dyDescent="0.25">
      <c r="A2199" s="1" t="str">
        <f>"2213-2020/27"</f>
        <v>2213-2020/27</v>
      </c>
      <c r="B2199" s="1" t="str">
        <f t="shared" si="382"/>
        <v>06.05.2020</v>
      </c>
      <c r="C2199" s="1" t="str">
        <f t="shared" si="387"/>
        <v>Закрито</v>
      </c>
      <c r="D219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199" s="1" t="str">
        <f t="shared" si="390"/>
        <v>Земельні питання</v>
      </c>
      <c r="F2199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199" s="1" t="str">
        <f>"3"</f>
        <v>3</v>
      </c>
      <c r="H2199" s="1" t="str">
        <f>"Результат"</f>
        <v>Результат</v>
      </c>
      <c r="I2199" s="1" t="str">
        <f>"Позитивний"</f>
        <v>Позитивний</v>
      </c>
      <c r="J2199" s="1" t="str">
        <f>"Ні"</f>
        <v>Ні</v>
      </c>
    </row>
    <row r="2200" spans="1:10" ht="135" x14ac:dyDescent="0.25">
      <c r="A2200" s="1" t="str">
        <f>"2205-2020/27"</f>
        <v>2205-2020/27</v>
      </c>
      <c r="B2200" s="1" t="str">
        <f t="shared" si="382"/>
        <v>06.05.2020</v>
      </c>
      <c r="C2200" s="1" t="str">
        <f t="shared" si="387"/>
        <v>Закрито</v>
      </c>
      <c r="D220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00" s="1" t="str">
        <f t="shared" si="390"/>
        <v>Земельні питання</v>
      </c>
      <c r="F2200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0" s="1" t="str">
        <f>"1"</f>
        <v>1</v>
      </c>
      <c r="H2200" s="1" t="str">
        <f>"Результат"</f>
        <v>Результат</v>
      </c>
      <c r="I2200" s="1" t="str">
        <f>"Позитивний"</f>
        <v>Позитивний</v>
      </c>
      <c r="J2200" s="1" t="str">
        <f>"Так"</f>
        <v>Так</v>
      </c>
    </row>
    <row r="2201" spans="1:10" ht="135" x14ac:dyDescent="0.25">
      <c r="A2201" s="1" t="str">
        <f>"2237-2020/27"</f>
        <v>2237-2020/27</v>
      </c>
      <c r="B2201" s="1" t="str">
        <f t="shared" si="382"/>
        <v>06.05.2020</v>
      </c>
      <c r="C2201" s="1" t="str">
        <f t="shared" si="387"/>
        <v>Закрито</v>
      </c>
      <c r="D220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01" s="1" t="str">
        <f t="shared" si="390"/>
        <v>Земельні питання</v>
      </c>
      <c r="F2201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1" s="1" t="str">
        <f>"1"</f>
        <v>1</v>
      </c>
      <c r="H2201" s="1" t="str">
        <f>"Результат"</f>
        <v>Результат</v>
      </c>
      <c r="I2201" s="1" t="str">
        <f>"Позитивний"</f>
        <v>Позитивний</v>
      </c>
      <c r="J2201" s="1" t="str">
        <f>"Так"</f>
        <v>Так</v>
      </c>
    </row>
    <row r="2202" spans="1:10" ht="135" x14ac:dyDescent="0.25">
      <c r="A2202" s="1" t="str">
        <f>"2250-2020/27"</f>
        <v>2250-2020/27</v>
      </c>
      <c r="B2202" s="1" t="str">
        <f t="shared" ref="B2202:B2231" si="392">"07.05.2020"</f>
        <v>07.05.2020</v>
      </c>
      <c r="C2202" s="1" t="str">
        <f t="shared" si="387"/>
        <v>Закрито</v>
      </c>
      <c r="D22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02" s="1" t="str">
        <f t="shared" si="390"/>
        <v>Земельні питання</v>
      </c>
      <c r="F2202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2" s="1" t="str">
        <f>"3"</f>
        <v>3</v>
      </c>
      <c r="H2202" s="1" t="str">
        <f>"Результат"</f>
        <v>Результат</v>
      </c>
      <c r="I2202" s="1" t="str">
        <f>"Позитивний"</f>
        <v>Позитивний</v>
      </c>
      <c r="J2202" s="1" t="str">
        <f t="shared" ref="J2202:J2210" si="393">"Ні"</f>
        <v>Ні</v>
      </c>
    </row>
    <row r="2203" spans="1:10" ht="135" x14ac:dyDescent="0.25">
      <c r="A2203" s="1" t="str">
        <f>"2249-2020/27"</f>
        <v>2249-2020/27</v>
      </c>
      <c r="B2203" s="1" t="str">
        <f t="shared" si="392"/>
        <v>07.05.2020</v>
      </c>
      <c r="C2203" s="1" t="str">
        <f t="shared" si="387"/>
        <v>Закрито</v>
      </c>
      <c r="D220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03" s="1" t="str">
        <f t="shared" si="390"/>
        <v>Земельні питання</v>
      </c>
      <c r="F2203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3" s="1" t="str">
        <f>"3"</f>
        <v>3</v>
      </c>
      <c r="H2203" s="1" t="str">
        <f>"Результат"</f>
        <v>Результат</v>
      </c>
      <c r="I2203" s="1" t="str">
        <f>"Позитивний"</f>
        <v>Позитивний</v>
      </c>
      <c r="J2203" s="1" t="str">
        <f t="shared" si="393"/>
        <v>Ні</v>
      </c>
    </row>
    <row r="2204" spans="1:10" ht="135" x14ac:dyDescent="0.25">
      <c r="A2204" s="1" t="str">
        <f>"2255-2020/27"</f>
        <v>2255-2020/27</v>
      </c>
      <c r="B2204" s="1" t="str">
        <f t="shared" si="392"/>
        <v>07.05.2020</v>
      </c>
      <c r="C2204" s="1" t="str">
        <f t="shared" si="387"/>
        <v>Закрито</v>
      </c>
      <c r="D220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04" s="1" t="str">
        <f t="shared" si="390"/>
        <v>Земельні питання</v>
      </c>
      <c r="F2204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4" s="1" t="str">
        <f>"3"</f>
        <v>3</v>
      </c>
      <c r="H2204" s="1" t="str">
        <f>"Результат"</f>
        <v>Результат</v>
      </c>
      <c r="I2204" s="1" t="str">
        <f>"Позитивний"</f>
        <v>Позитивний</v>
      </c>
      <c r="J2204" s="1" t="str">
        <f t="shared" si="393"/>
        <v>Ні</v>
      </c>
    </row>
    <row r="2205" spans="1:10" ht="135" x14ac:dyDescent="0.25">
      <c r="A2205" s="1" t="str">
        <f>"2266-2020/27"</f>
        <v>2266-2020/27</v>
      </c>
      <c r="B2205" s="1" t="str">
        <f t="shared" si="392"/>
        <v>07.05.2020</v>
      </c>
      <c r="C2205" s="1" t="str">
        <f t="shared" si="387"/>
        <v>Закрито</v>
      </c>
      <c r="D220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05" s="1" t="str">
        <f t="shared" si="390"/>
        <v>Земельні питання</v>
      </c>
      <c r="F2205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5" s="1" t="str">
        <f>"14"</f>
        <v>14</v>
      </c>
      <c r="H2205" s="1" t="str">
        <f>"Результат"</f>
        <v>Результат</v>
      </c>
      <c r="I2205" s="1" t="str">
        <f>"Позитивний"</f>
        <v>Позитивний</v>
      </c>
      <c r="J2205" s="1" t="str">
        <f t="shared" si="393"/>
        <v>Ні</v>
      </c>
    </row>
    <row r="2206" spans="1:10" ht="135" x14ac:dyDescent="0.25">
      <c r="A2206" s="1" t="str">
        <f>"2259-2020/27"</f>
        <v>2259-2020/27</v>
      </c>
      <c r="B2206" s="1" t="str">
        <f t="shared" si="392"/>
        <v>07.05.2020</v>
      </c>
      <c r="C2206" s="1" t="str">
        <f t="shared" si="387"/>
        <v>Закрито</v>
      </c>
      <c r="D220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06" s="1" t="str">
        <f t="shared" si="390"/>
        <v>Земельні питання</v>
      </c>
      <c r="F2206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6" s="1" t="str">
        <f>"3"</f>
        <v>3</v>
      </c>
      <c r="H2206" s="1" t="str">
        <f>"Результат"</f>
        <v>Результат</v>
      </c>
      <c r="I2206" s="1" t="str">
        <f>"Позитивний"</f>
        <v>Позитивний</v>
      </c>
      <c r="J2206" s="1" t="str">
        <f t="shared" si="393"/>
        <v>Ні</v>
      </c>
    </row>
    <row r="2207" spans="1:10" ht="135" x14ac:dyDescent="0.25">
      <c r="A2207" s="1" t="str">
        <f>"2258-2020/27"</f>
        <v>2258-2020/27</v>
      </c>
      <c r="B2207" s="1" t="str">
        <f t="shared" si="392"/>
        <v>07.05.2020</v>
      </c>
      <c r="C2207" s="1" t="str">
        <f t="shared" si="387"/>
        <v>Закрито</v>
      </c>
      <c r="D220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07" s="1" t="str">
        <f t="shared" si="390"/>
        <v>Земельні питання</v>
      </c>
      <c r="F2207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7" s="1" t="str">
        <f>"3"</f>
        <v>3</v>
      </c>
      <c r="H2207" s="1" t="str">
        <f>"Результат"</f>
        <v>Результат</v>
      </c>
      <c r="I2207" s="1" t="str">
        <f>"Позитивний"</f>
        <v>Позитивний</v>
      </c>
      <c r="J2207" s="1" t="str">
        <f t="shared" si="393"/>
        <v>Ні</v>
      </c>
    </row>
    <row r="2208" spans="1:10" ht="135" x14ac:dyDescent="0.25">
      <c r="A2208" s="1" t="str">
        <f>"2253-2020/27"</f>
        <v>2253-2020/27</v>
      </c>
      <c r="B2208" s="1" t="str">
        <f t="shared" si="392"/>
        <v>07.05.2020</v>
      </c>
      <c r="C2208" s="1" t="str">
        <f t="shared" si="387"/>
        <v>Закрито</v>
      </c>
      <c r="D220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08" s="1" t="str">
        <f t="shared" si="390"/>
        <v>Земельні питання</v>
      </c>
      <c r="F2208" s="1" t="str">
        <f t="shared" si="391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08" s="1" t="str">
        <f>"3"</f>
        <v>3</v>
      </c>
      <c r="H2208" s="1" t="str">
        <f>"Результат"</f>
        <v>Результат</v>
      </c>
      <c r="I2208" s="1" t="str">
        <f>"Позитивний"</f>
        <v>Позитивний</v>
      </c>
      <c r="J2208" s="1" t="str">
        <f t="shared" si="393"/>
        <v>Ні</v>
      </c>
    </row>
    <row r="2209" spans="1:10" ht="75" x14ac:dyDescent="0.25">
      <c r="A2209" s="1" t="str">
        <f>"2270-2020/27"</f>
        <v>2270-2020/27</v>
      </c>
      <c r="B2209" s="1" t="str">
        <f t="shared" si="392"/>
        <v>07.05.2020</v>
      </c>
      <c r="C2209" s="1" t="str">
        <f t="shared" si="387"/>
        <v>Закрито</v>
      </c>
      <c r="D2209" s="1" t="str">
        <f>"Анулювання/скасування дозволу на розміщення зовнішньої реклами"</f>
        <v>Анулювання/скасування дозволу на розміщення зовнішньої реклами</v>
      </c>
      <c r="E2209" s="1" t="str">
        <f>"Зовнішня реклама"</f>
        <v>Зовнішня реклама</v>
      </c>
      <c r="F2209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2209" s="1" t="str">
        <f>"30"</f>
        <v>30</v>
      </c>
      <c r="H2209" s="1" t="str">
        <f>"Результат"</f>
        <v>Результат</v>
      </c>
      <c r="I2209" s="1" t="str">
        <f>"Позитивний"</f>
        <v>Позитивний</v>
      </c>
      <c r="J2209" s="1" t="str">
        <f t="shared" si="393"/>
        <v>Ні</v>
      </c>
    </row>
    <row r="2210" spans="1:10" ht="135" x14ac:dyDescent="0.25">
      <c r="A2210" s="1" t="str">
        <f>"2269-2020/27"</f>
        <v>2269-2020/27</v>
      </c>
      <c r="B2210" s="1" t="str">
        <f t="shared" si="392"/>
        <v>07.05.2020</v>
      </c>
      <c r="C2210" s="1" t="str">
        <f t="shared" si="387"/>
        <v>Закрито</v>
      </c>
      <c r="D221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10" s="1" t="str">
        <f>"Земельні питання"</f>
        <v>Земельні питання</v>
      </c>
      <c r="F22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0" s="1" t="str">
        <f>"14"</f>
        <v>14</v>
      </c>
      <c r="H2210" s="1" t="str">
        <f>"Результат"</f>
        <v>Результат</v>
      </c>
      <c r="I2210" s="1" t="str">
        <f>"Позитивний"</f>
        <v>Позитивний</v>
      </c>
      <c r="J2210" s="1" t="str">
        <f t="shared" si="393"/>
        <v>Ні</v>
      </c>
    </row>
    <row r="2211" spans="1:10" ht="45" x14ac:dyDescent="0.25">
      <c r="A2211" s="1" t="str">
        <f>"2245-2020/27"</f>
        <v>2245-2020/27</v>
      </c>
      <c r="B2211" s="1" t="str">
        <f t="shared" si="392"/>
        <v>07.05.2020</v>
      </c>
      <c r="C2211" s="1" t="str">
        <f t="shared" si="387"/>
        <v>Закрито</v>
      </c>
      <c r="D2211" s="1" t="str">
        <f>"Реєстрація місця проживання особи"</f>
        <v>Реєстрація місця проживання особи</v>
      </c>
      <c r="E2211" s="1" t="str">
        <f>"Реєстрація місця проживання"</f>
        <v>Реєстрація місця проживання</v>
      </c>
      <c r="F2211" s="1" t="str">
        <f>"Відділ реєстрації Новокаховської міської ради"</f>
        <v>Відділ реєстрації Новокаховської міської ради</v>
      </c>
      <c r="G2211" s="1" t="str">
        <f>"1"</f>
        <v>1</v>
      </c>
      <c r="H2211" s="1" t="str">
        <f>"Результат"</f>
        <v>Результат</v>
      </c>
      <c r="I2211" s="1" t="str">
        <f>"Позитивний"</f>
        <v>Позитивний</v>
      </c>
      <c r="J2211" s="1" t="str">
        <f>"Так"</f>
        <v>Так</v>
      </c>
    </row>
    <row r="2212" spans="1:10" ht="90" x14ac:dyDescent="0.25">
      <c r="A2212" s="1" t="str">
        <f>"2261-2020/27"</f>
        <v>2261-2020/27</v>
      </c>
      <c r="B2212" s="1" t="str">
        <f t="shared" si="392"/>
        <v>07.05.2020</v>
      </c>
      <c r="C2212" s="1" t="str">
        <f t="shared" si="387"/>
        <v>Закрито</v>
      </c>
      <c r="D221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12" s="1" t="str">
        <f>"Інші послуги"</f>
        <v>Інші послуги</v>
      </c>
      <c r="F221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12" s="1" t="str">
        <f>"5"</f>
        <v>5</v>
      </c>
      <c r="H2212" s="1" t="str">
        <f>"Результат"</f>
        <v>Результат</v>
      </c>
      <c r="I2212" s="1" t="str">
        <f>"Позитивний"</f>
        <v>Позитивний</v>
      </c>
      <c r="J2212" s="1" t="str">
        <f>"Ні"</f>
        <v>Ні</v>
      </c>
    </row>
    <row r="2213" spans="1:10" ht="135" x14ac:dyDescent="0.25">
      <c r="A2213" s="1" t="str">
        <f>"2271-2020/27"</f>
        <v>2271-2020/27</v>
      </c>
      <c r="B2213" s="1" t="str">
        <f t="shared" si="392"/>
        <v>07.05.2020</v>
      </c>
      <c r="C2213" s="1" t="str">
        <f t="shared" si="387"/>
        <v>Закрито</v>
      </c>
      <c r="D22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13" s="1" t="str">
        <f>"Земельні питання"</f>
        <v>Земельні питання</v>
      </c>
      <c r="F22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3" s="1" t="str">
        <f>"3"</f>
        <v>3</v>
      </c>
      <c r="H2213" s="1" t="str">
        <f>"Результат"</f>
        <v>Результат</v>
      </c>
      <c r="I2213" s="1" t="str">
        <f>"Позитивний"</f>
        <v>Позитивний</v>
      </c>
      <c r="J2213" s="1" t="str">
        <f>"Ні"</f>
        <v>Ні</v>
      </c>
    </row>
    <row r="2214" spans="1:10" ht="225" x14ac:dyDescent="0.25">
      <c r="A2214" s="1" t="str">
        <f>"2257-2020/27"</f>
        <v>2257-2020/27</v>
      </c>
      <c r="B2214" s="1" t="str">
        <f t="shared" si="392"/>
        <v>07.05.2020</v>
      </c>
      <c r="C2214" s="1" t="str">
        <f t="shared" si="387"/>
        <v>Закрито</v>
      </c>
      <c r="D2214" s="1" t="s">
        <v>0</v>
      </c>
      <c r="E2214" s="1" t="str">
        <f>"Будівництво"</f>
        <v>Будівництво</v>
      </c>
      <c r="F221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214" s="1" t="str">
        <f>"10"</f>
        <v>10</v>
      </c>
      <c r="H2214" s="1" t="str">
        <f>"Результат"</f>
        <v>Результат</v>
      </c>
      <c r="I2214" s="1" t="str">
        <f>"Позитивний"</f>
        <v>Позитивний</v>
      </c>
      <c r="J2214" s="1" t="str">
        <f>"Ні"</f>
        <v>Ні</v>
      </c>
    </row>
    <row r="2215" spans="1:10" ht="135" x14ac:dyDescent="0.25">
      <c r="A2215" s="1" t="str">
        <f>"2243-2020/27"</f>
        <v>2243-2020/27</v>
      </c>
      <c r="B2215" s="1" t="str">
        <f t="shared" si="392"/>
        <v>07.05.2020</v>
      </c>
      <c r="C2215" s="1" t="str">
        <f t="shared" si="387"/>
        <v>Закрито</v>
      </c>
      <c r="D22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15" s="1" t="str">
        <f t="shared" ref="E2215:E2222" si="394">"Земельні питання"</f>
        <v>Земельні питання</v>
      </c>
      <c r="F2215" s="1" t="str">
        <f t="shared" ref="F2215:F2222" si="395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5" s="1" t="str">
        <f>"1"</f>
        <v>1</v>
      </c>
      <c r="H2215" s="1" t="str">
        <f>"Результат"</f>
        <v>Результат</v>
      </c>
      <c r="I2215" s="1" t="str">
        <f>"Позитивний"</f>
        <v>Позитивний</v>
      </c>
      <c r="J2215" s="1" t="str">
        <f>"Так"</f>
        <v>Так</v>
      </c>
    </row>
    <row r="2216" spans="1:10" ht="135" x14ac:dyDescent="0.25">
      <c r="A2216" s="1" t="str">
        <f>"2244-2020/27"</f>
        <v>2244-2020/27</v>
      </c>
      <c r="B2216" s="1" t="str">
        <f t="shared" si="392"/>
        <v>07.05.2020</v>
      </c>
      <c r="C2216" s="1" t="str">
        <f t="shared" si="387"/>
        <v>Закрито</v>
      </c>
      <c r="D221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16" s="1" t="str">
        <f t="shared" si="394"/>
        <v>Земельні питання</v>
      </c>
      <c r="F2216" s="1" t="str">
        <f t="shared" si="39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6" s="1" t="str">
        <f>"1"</f>
        <v>1</v>
      </c>
      <c r="H2216" s="1" t="str">
        <f>"Результат"</f>
        <v>Результат</v>
      </c>
      <c r="I2216" s="1" t="str">
        <f>"Позитивний"</f>
        <v>Позитивний</v>
      </c>
      <c r="J2216" s="1" t="str">
        <f>"Так"</f>
        <v>Так</v>
      </c>
    </row>
    <row r="2217" spans="1:10" ht="135" x14ac:dyDescent="0.25">
      <c r="A2217" s="1" t="str">
        <f>"2251-2020/27"</f>
        <v>2251-2020/27</v>
      </c>
      <c r="B2217" s="1" t="str">
        <f t="shared" si="392"/>
        <v>07.05.2020</v>
      </c>
      <c r="C2217" s="1" t="str">
        <f t="shared" si="387"/>
        <v>Закрито</v>
      </c>
      <c r="D221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17" s="1" t="str">
        <f t="shared" si="394"/>
        <v>Земельні питання</v>
      </c>
      <c r="F2217" s="1" t="str">
        <f t="shared" si="39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7" s="1" t="str">
        <f>"3"</f>
        <v>3</v>
      </c>
      <c r="H2217" s="1" t="str">
        <f>"Результат"</f>
        <v>Результат</v>
      </c>
      <c r="I2217" s="1" t="str">
        <f>"Позитивний"</f>
        <v>Позитивний</v>
      </c>
      <c r="J2217" s="1" t="str">
        <f>"Ні"</f>
        <v>Ні</v>
      </c>
    </row>
    <row r="2218" spans="1:10" ht="135" x14ac:dyDescent="0.25">
      <c r="A2218" s="1" t="str">
        <f>"2254-2020/27"</f>
        <v>2254-2020/27</v>
      </c>
      <c r="B2218" s="1" t="str">
        <f t="shared" si="392"/>
        <v>07.05.2020</v>
      </c>
      <c r="C2218" s="1" t="str">
        <f t="shared" si="387"/>
        <v>Закрито</v>
      </c>
      <c r="D221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18" s="1" t="str">
        <f t="shared" si="394"/>
        <v>Земельні питання</v>
      </c>
      <c r="F2218" s="1" t="str">
        <f t="shared" si="39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8" s="1" t="str">
        <f>"3"</f>
        <v>3</v>
      </c>
      <c r="H2218" s="1" t="str">
        <f>"Результат"</f>
        <v>Результат</v>
      </c>
      <c r="I2218" s="1" t="str">
        <f>"Позитивний"</f>
        <v>Позитивний</v>
      </c>
      <c r="J2218" s="1" t="str">
        <f>"Ні"</f>
        <v>Ні</v>
      </c>
    </row>
    <row r="2219" spans="1:10" ht="135" x14ac:dyDescent="0.25">
      <c r="A2219" s="1" t="str">
        <f>"2263-2020/27"</f>
        <v>2263-2020/27</v>
      </c>
      <c r="B2219" s="1" t="str">
        <f t="shared" si="392"/>
        <v>07.05.2020</v>
      </c>
      <c r="C2219" s="1" t="str">
        <f t="shared" si="387"/>
        <v>Закрито</v>
      </c>
      <c r="D221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19" s="1" t="str">
        <f t="shared" si="394"/>
        <v>Земельні питання</v>
      </c>
      <c r="F2219" s="1" t="str">
        <f t="shared" si="39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19" s="1" t="str">
        <f>"1"</f>
        <v>1</v>
      </c>
      <c r="H2219" s="1" t="str">
        <f>"Результат"</f>
        <v>Результат</v>
      </c>
      <c r="I2219" s="1" t="str">
        <f>"Позитивний"</f>
        <v>Позитивний</v>
      </c>
      <c r="J2219" s="1" t="str">
        <f>"Так"</f>
        <v>Так</v>
      </c>
    </row>
    <row r="2220" spans="1:10" ht="135" x14ac:dyDescent="0.25">
      <c r="A2220" s="1" t="str">
        <f>"2264-2020/27"</f>
        <v>2264-2020/27</v>
      </c>
      <c r="B2220" s="1" t="str">
        <f t="shared" si="392"/>
        <v>07.05.2020</v>
      </c>
      <c r="C2220" s="1" t="str">
        <f t="shared" si="387"/>
        <v>Закрито</v>
      </c>
      <c r="D222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20" s="1" t="str">
        <f t="shared" si="394"/>
        <v>Земельні питання</v>
      </c>
      <c r="F2220" s="1" t="str">
        <f t="shared" si="39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0" s="1" t="str">
        <f>"14"</f>
        <v>14</v>
      </c>
      <c r="H2220" s="1" t="str">
        <f>"Результат"</f>
        <v>Результат</v>
      </c>
      <c r="I2220" s="1" t="str">
        <f>"Позитивний"</f>
        <v>Позитивний</v>
      </c>
      <c r="J2220" s="1" t="str">
        <f>"Ні"</f>
        <v>Ні</v>
      </c>
    </row>
    <row r="2221" spans="1:10" ht="135" x14ac:dyDescent="0.25">
      <c r="A2221" s="1" t="str">
        <f>"2247-2020/27"</f>
        <v>2247-2020/27</v>
      </c>
      <c r="B2221" s="1" t="str">
        <f t="shared" si="392"/>
        <v>07.05.2020</v>
      </c>
      <c r="C2221" s="1" t="str">
        <f t="shared" si="387"/>
        <v>Закрито</v>
      </c>
      <c r="D222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21" s="1" t="str">
        <f t="shared" si="394"/>
        <v>Земельні питання</v>
      </c>
      <c r="F2221" s="1" t="str">
        <f t="shared" si="39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1" s="1" t="str">
        <f>"3"</f>
        <v>3</v>
      </c>
      <c r="H2221" s="1" t="str">
        <f>"Результат"</f>
        <v>Результат</v>
      </c>
      <c r="I2221" s="1" t="str">
        <f>"Позитивний"</f>
        <v>Позитивний</v>
      </c>
      <c r="J2221" s="1" t="str">
        <f>"Ні"</f>
        <v>Ні</v>
      </c>
    </row>
    <row r="2222" spans="1:10" ht="135" x14ac:dyDescent="0.25">
      <c r="A2222" s="1" t="str">
        <f>"2256-2020/27"</f>
        <v>2256-2020/27</v>
      </c>
      <c r="B2222" s="1" t="str">
        <f t="shared" si="392"/>
        <v>07.05.2020</v>
      </c>
      <c r="C2222" s="1" t="str">
        <f t="shared" si="387"/>
        <v>Закрито</v>
      </c>
      <c r="D222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22" s="1" t="str">
        <f t="shared" si="394"/>
        <v>Земельні питання</v>
      </c>
      <c r="F2222" s="1" t="str">
        <f t="shared" si="39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2" s="1" t="str">
        <f>"3"</f>
        <v>3</v>
      </c>
      <c r="H2222" s="1" t="str">
        <f>"Результат"</f>
        <v>Результат</v>
      </c>
      <c r="I2222" s="1" t="str">
        <f>"Позитивний"</f>
        <v>Позитивний</v>
      </c>
      <c r="J2222" s="1" t="str">
        <f>"Ні"</f>
        <v>Ні</v>
      </c>
    </row>
    <row r="2223" spans="1:10" ht="45" x14ac:dyDescent="0.25">
      <c r="A2223" s="1" t="str">
        <f>"2260-2020/27"</f>
        <v>2260-2020/27</v>
      </c>
      <c r="B2223" s="1" t="str">
        <f t="shared" si="392"/>
        <v>07.05.2020</v>
      </c>
      <c r="C2223" s="1" t="str">
        <f t="shared" si="387"/>
        <v>Закрито</v>
      </c>
      <c r="D2223" s="1" t="str">
        <f>"Реєстрація місця проживання особи"</f>
        <v>Реєстрація місця проживання особи</v>
      </c>
      <c r="E2223" s="1" t="str">
        <f>"Реєстрація місця проживання"</f>
        <v>Реєстрація місця проживання</v>
      </c>
      <c r="F2223" s="1" t="str">
        <f>"Відділ реєстрації Новокаховської міської ради"</f>
        <v>Відділ реєстрації Новокаховської міської ради</v>
      </c>
      <c r="G2223" s="1" t="str">
        <f>"1"</f>
        <v>1</v>
      </c>
      <c r="H2223" s="1" t="str">
        <f>"Результат"</f>
        <v>Результат</v>
      </c>
      <c r="I2223" s="1" t="str">
        <f>"Позитивний"</f>
        <v>Позитивний</v>
      </c>
      <c r="J2223" s="1" t="str">
        <f>"Так"</f>
        <v>Так</v>
      </c>
    </row>
    <row r="2224" spans="1:10" ht="135" x14ac:dyDescent="0.25">
      <c r="A2224" s="1" t="str">
        <f>"2272-2020/27"</f>
        <v>2272-2020/27</v>
      </c>
      <c r="B2224" s="1" t="str">
        <f t="shared" si="392"/>
        <v>07.05.2020</v>
      </c>
      <c r="C2224" s="1" t="str">
        <f t="shared" si="387"/>
        <v>Закрито</v>
      </c>
      <c r="D222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24" s="1" t="str">
        <f t="shared" ref="E2224:E2229" si="396">"Земельні питання"</f>
        <v>Земельні питання</v>
      </c>
      <c r="F2224" s="1" t="str">
        <f t="shared" ref="F2224:F2229" si="397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4" s="1" t="str">
        <f>"3"</f>
        <v>3</v>
      </c>
      <c r="H2224" s="1" t="str">
        <f>"Результат"</f>
        <v>Результат</v>
      </c>
      <c r="I2224" s="1" t="str">
        <f>"Позитивний"</f>
        <v>Позитивний</v>
      </c>
      <c r="J2224" s="1" t="str">
        <f>"Ні"</f>
        <v>Ні</v>
      </c>
    </row>
    <row r="2225" spans="1:10" ht="135" x14ac:dyDescent="0.25">
      <c r="A2225" s="1" t="str">
        <f>"2248-2020/27"</f>
        <v>2248-2020/27</v>
      </c>
      <c r="B2225" s="1" t="str">
        <f t="shared" si="392"/>
        <v>07.05.2020</v>
      </c>
      <c r="C2225" s="1" t="str">
        <f t="shared" si="387"/>
        <v>Закрито</v>
      </c>
      <c r="D22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25" s="1" t="str">
        <f t="shared" si="396"/>
        <v>Земельні питання</v>
      </c>
      <c r="F2225" s="1" t="str">
        <f t="shared" si="397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5" s="1" t="str">
        <f>"3"</f>
        <v>3</v>
      </c>
      <c r="H2225" s="1" t="str">
        <f>"Результат"</f>
        <v>Результат</v>
      </c>
      <c r="I2225" s="1" t="str">
        <f>"Позитивний"</f>
        <v>Позитивний</v>
      </c>
      <c r="J2225" s="1" t="str">
        <f>"Ні"</f>
        <v>Ні</v>
      </c>
    </row>
    <row r="2226" spans="1:10" ht="135" x14ac:dyDescent="0.25">
      <c r="A2226" s="1" t="str">
        <f>"2265-2020/27"</f>
        <v>2265-2020/27</v>
      </c>
      <c r="B2226" s="1" t="str">
        <f t="shared" si="392"/>
        <v>07.05.2020</v>
      </c>
      <c r="C2226" s="1" t="str">
        <f t="shared" si="387"/>
        <v>Закрито</v>
      </c>
      <c r="D222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26" s="1" t="str">
        <f t="shared" si="396"/>
        <v>Земельні питання</v>
      </c>
      <c r="F2226" s="1" t="str">
        <f t="shared" si="397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6" s="1" t="str">
        <f>"14"</f>
        <v>14</v>
      </c>
      <c r="H2226" s="1" t="str">
        <f>"Результат"</f>
        <v>Результат</v>
      </c>
      <c r="I2226" s="1" t="str">
        <f>"Позитивний"</f>
        <v>Позитивний</v>
      </c>
      <c r="J2226" s="1" t="str">
        <f>"Ні"</f>
        <v>Ні</v>
      </c>
    </row>
    <row r="2227" spans="1:10" ht="135" x14ac:dyDescent="0.25">
      <c r="A2227" s="1" t="str">
        <f>"2252-2020/27"</f>
        <v>2252-2020/27</v>
      </c>
      <c r="B2227" s="1" t="str">
        <f t="shared" si="392"/>
        <v>07.05.2020</v>
      </c>
      <c r="C2227" s="1" t="str">
        <f t="shared" si="387"/>
        <v>Закрито</v>
      </c>
      <c r="D222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27" s="1" t="str">
        <f t="shared" si="396"/>
        <v>Земельні питання</v>
      </c>
      <c r="F2227" s="1" t="str">
        <f t="shared" si="397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7" s="1" t="str">
        <f>"3"</f>
        <v>3</v>
      </c>
      <c r="H2227" s="1" t="str">
        <f>"Результат"</f>
        <v>Результат</v>
      </c>
      <c r="I2227" s="1" t="str">
        <f>"Позитивний"</f>
        <v>Позитивний</v>
      </c>
      <c r="J2227" s="1" t="str">
        <f>"Ні"</f>
        <v>Ні</v>
      </c>
    </row>
    <row r="2228" spans="1:10" ht="135" x14ac:dyDescent="0.25">
      <c r="A2228" s="1" t="str">
        <f>"2246-2020/27"</f>
        <v>2246-2020/27</v>
      </c>
      <c r="B2228" s="1" t="str">
        <f t="shared" si="392"/>
        <v>07.05.2020</v>
      </c>
      <c r="C2228" s="1" t="str">
        <f t="shared" si="387"/>
        <v>Закрито</v>
      </c>
      <c r="D22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28" s="1" t="str">
        <f t="shared" si="396"/>
        <v>Земельні питання</v>
      </c>
      <c r="F2228" s="1" t="str">
        <f t="shared" si="397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8" s="1" t="str">
        <f>"1"</f>
        <v>1</v>
      </c>
      <c r="H2228" s="1" t="str">
        <f>"Результат"</f>
        <v>Результат</v>
      </c>
      <c r="I2228" s="1" t="str">
        <f>"Позитивний"</f>
        <v>Позитивний</v>
      </c>
      <c r="J2228" s="1" t="str">
        <f>"Так"</f>
        <v>Так</v>
      </c>
    </row>
    <row r="2229" spans="1:10" ht="135" x14ac:dyDescent="0.25">
      <c r="A2229" s="1" t="str">
        <f>"2267-2020/27"</f>
        <v>2267-2020/27</v>
      </c>
      <c r="B2229" s="1" t="str">
        <f t="shared" si="392"/>
        <v>07.05.2020</v>
      </c>
      <c r="C2229" s="1" t="str">
        <f t="shared" si="387"/>
        <v>Закрито</v>
      </c>
      <c r="D222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29" s="1" t="str">
        <f t="shared" si="396"/>
        <v>Земельні питання</v>
      </c>
      <c r="F2229" s="1" t="str">
        <f t="shared" si="397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29" s="1" t="str">
        <f>"14"</f>
        <v>14</v>
      </c>
      <c r="H2229" s="1" t="str">
        <f>"Результат"</f>
        <v>Результат</v>
      </c>
      <c r="I2229" s="1" t="str">
        <f>"Позитивний"</f>
        <v>Позитивний</v>
      </c>
      <c r="J2229" s="1" t="str">
        <f>"Ні"</f>
        <v>Ні</v>
      </c>
    </row>
    <row r="2230" spans="1:10" ht="45" x14ac:dyDescent="0.25">
      <c r="A2230" s="1" t="str">
        <f>"2262-2020/27"</f>
        <v>2262-2020/27</v>
      </c>
      <c r="B2230" s="1" t="str">
        <f t="shared" si="392"/>
        <v>07.05.2020</v>
      </c>
      <c r="C2230" s="1" t="str">
        <f t="shared" si="387"/>
        <v>Закрито</v>
      </c>
      <c r="D2230" s="1" t="str">
        <f>"Реєстрація місця проживання особи"</f>
        <v>Реєстрація місця проживання особи</v>
      </c>
      <c r="E2230" s="1" t="str">
        <f>"Реєстрація місця проживання"</f>
        <v>Реєстрація місця проживання</v>
      </c>
      <c r="F2230" s="1" t="str">
        <f>"Відділ реєстрації Новокаховської міської ради"</f>
        <v>Відділ реєстрації Новокаховської міської ради</v>
      </c>
      <c r="G2230" s="1" t="str">
        <f>"1"</f>
        <v>1</v>
      </c>
      <c r="H2230" s="1" t="str">
        <f>"Результат"</f>
        <v>Результат</v>
      </c>
      <c r="I2230" s="1" t="str">
        <f>"Позитивний"</f>
        <v>Позитивний</v>
      </c>
      <c r="J2230" s="1" t="str">
        <f>"Так"</f>
        <v>Так</v>
      </c>
    </row>
    <row r="2231" spans="1:10" ht="75" x14ac:dyDescent="0.25">
      <c r="A2231" s="1" t="str">
        <f>"2268-2020/27"</f>
        <v>2268-2020/27</v>
      </c>
      <c r="B2231" s="1" t="str">
        <f t="shared" si="392"/>
        <v>07.05.2020</v>
      </c>
      <c r="C2231" s="1" t="str">
        <f t="shared" si="387"/>
        <v>Закрито</v>
      </c>
      <c r="D2231" s="1" t="str">
        <f>"Видача дубліката дозволу на розміщення зовнішньої реклами"</f>
        <v>Видача дубліката дозволу на розміщення зовнішньої реклами</v>
      </c>
      <c r="E2231" s="1" t="str">
        <f>"Зовнішня реклама"</f>
        <v>Зовнішня реклама</v>
      </c>
      <c r="F2231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2231" s="1" t="str">
        <f>"2"</f>
        <v>2</v>
      </c>
      <c r="H2231" s="1" t="str">
        <f>"Результат"</f>
        <v>Результат</v>
      </c>
      <c r="I2231" s="1" t="str">
        <f>"Позитивний"</f>
        <v>Позитивний</v>
      </c>
      <c r="J2231" s="1" t="str">
        <f>"Ні"</f>
        <v>Ні</v>
      </c>
    </row>
    <row r="2232" spans="1:10" ht="45" x14ac:dyDescent="0.25">
      <c r="A2232" s="1" t="str">
        <f>"2278-2020/27"</f>
        <v>2278-2020/27</v>
      </c>
      <c r="B2232" s="1" t="str">
        <f t="shared" ref="B2232:B2241" si="398">"08.05.2020"</f>
        <v>08.05.2020</v>
      </c>
      <c r="C2232" s="1" t="str">
        <f t="shared" si="387"/>
        <v>Закрито</v>
      </c>
      <c r="D2232" s="1" t="str">
        <f>"Реєстрація місця проживання особи"</f>
        <v>Реєстрація місця проживання особи</v>
      </c>
      <c r="E2232" s="1" t="str">
        <f>"Реєстрація місця проживання"</f>
        <v>Реєстрація місця проживання</v>
      </c>
      <c r="F2232" s="1" t="str">
        <f>"Відділ реєстрації Новокаховської міської ради"</f>
        <v>Відділ реєстрації Новокаховської міської ради</v>
      </c>
      <c r="G2232" s="1" t="str">
        <f>"1"</f>
        <v>1</v>
      </c>
      <c r="H2232" s="1" t="str">
        <f>"Результат"</f>
        <v>Результат</v>
      </c>
      <c r="I2232" s="1" t="str">
        <f>"Позитивний"</f>
        <v>Позитивний</v>
      </c>
      <c r="J2232" s="1" t="str">
        <f>"Так"</f>
        <v>Так</v>
      </c>
    </row>
    <row r="2233" spans="1:10" ht="135" x14ac:dyDescent="0.25">
      <c r="A2233" s="1" t="str">
        <f>"2282-2020/27"</f>
        <v>2282-2020/27</v>
      </c>
      <c r="B2233" s="1" t="str">
        <f t="shared" si="398"/>
        <v>08.05.2020</v>
      </c>
      <c r="C2233" s="1" t="str">
        <f t="shared" si="387"/>
        <v>Закрито</v>
      </c>
      <c r="D22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33" s="1" t="str">
        <f t="shared" ref="E2233:E2239" si="399">"Земельні питання"</f>
        <v>Земельні питання</v>
      </c>
      <c r="F2233" s="1" t="str">
        <f t="shared" ref="F2233:F2239" si="400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33" s="1" t="str">
        <f>"1"</f>
        <v>1</v>
      </c>
      <c r="H2233" s="1" t="str">
        <f>"Результат"</f>
        <v>Результат</v>
      </c>
      <c r="I2233" s="1" t="str">
        <f>"Позитивний"</f>
        <v>Позитивний</v>
      </c>
      <c r="J2233" s="1" t="str">
        <f>"Так"</f>
        <v>Так</v>
      </c>
    </row>
    <row r="2234" spans="1:10" ht="135" x14ac:dyDescent="0.25">
      <c r="A2234" s="1" t="str">
        <f>"2273-2020/27"</f>
        <v>2273-2020/27</v>
      </c>
      <c r="B2234" s="1" t="str">
        <f t="shared" si="398"/>
        <v>08.05.2020</v>
      </c>
      <c r="C2234" s="1" t="str">
        <f t="shared" si="387"/>
        <v>Закрито</v>
      </c>
      <c r="D2234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234" s="1" t="str">
        <f t="shared" si="399"/>
        <v>Земельні питання</v>
      </c>
      <c r="F2234" s="1" t="str">
        <f t="shared" si="40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34" s="1" t="str">
        <f>"14"</f>
        <v>14</v>
      </c>
      <c r="H2234" s="1" t="str">
        <f>""</f>
        <v/>
      </c>
      <c r="I2234" s="1" t="str">
        <f>""</f>
        <v/>
      </c>
      <c r="J2234" s="1" t="str">
        <f>"Ні"</f>
        <v>Ні</v>
      </c>
    </row>
    <row r="2235" spans="1:10" ht="135" x14ac:dyDescent="0.25">
      <c r="A2235" s="1" t="str">
        <f>"2280-2020/27"</f>
        <v>2280-2020/27</v>
      </c>
      <c r="B2235" s="1" t="str">
        <f t="shared" si="398"/>
        <v>08.05.2020</v>
      </c>
      <c r="C2235" s="1" t="str">
        <f t="shared" si="387"/>
        <v>Закрито</v>
      </c>
      <c r="D223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35" s="1" t="str">
        <f t="shared" si="399"/>
        <v>Земельні питання</v>
      </c>
      <c r="F2235" s="1" t="str">
        <f t="shared" si="40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35" s="1" t="str">
        <f>"3"</f>
        <v>3</v>
      </c>
      <c r="H2235" s="1" t="str">
        <f>"Результат"</f>
        <v>Результат</v>
      </c>
      <c r="I2235" s="1" t="str">
        <f>"Позитивний"</f>
        <v>Позитивний</v>
      </c>
      <c r="J2235" s="1" t="str">
        <f>"Ні"</f>
        <v>Ні</v>
      </c>
    </row>
    <row r="2236" spans="1:10" ht="135" x14ac:dyDescent="0.25">
      <c r="A2236" s="1" t="str">
        <f>"2274-2020/27"</f>
        <v>2274-2020/27</v>
      </c>
      <c r="B2236" s="1" t="str">
        <f t="shared" si="398"/>
        <v>08.05.2020</v>
      </c>
      <c r="C2236" s="1" t="str">
        <f t="shared" si="387"/>
        <v>Закрито</v>
      </c>
      <c r="D223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36" s="1" t="str">
        <f t="shared" si="399"/>
        <v>Земельні питання</v>
      </c>
      <c r="F2236" s="1" t="str">
        <f t="shared" si="40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36" s="1" t="str">
        <f>"1"</f>
        <v>1</v>
      </c>
      <c r="H2236" s="1" t="str">
        <f>"Результат"</f>
        <v>Результат</v>
      </c>
      <c r="I2236" s="1" t="str">
        <f>"Позитивний"</f>
        <v>Позитивний</v>
      </c>
      <c r="J2236" s="1" t="str">
        <f>"Так"</f>
        <v>Так</v>
      </c>
    </row>
    <row r="2237" spans="1:10" ht="135" x14ac:dyDescent="0.25">
      <c r="A2237" s="1" t="str">
        <f>"2277-2020/27"</f>
        <v>2277-2020/27</v>
      </c>
      <c r="B2237" s="1" t="str">
        <f t="shared" si="398"/>
        <v>08.05.2020</v>
      </c>
      <c r="C2237" s="1" t="str">
        <f t="shared" si="387"/>
        <v>Закрито</v>
      </c>
      <c r="D223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37" s="1" t="str">
        <f t="shared" si="399"/>
        <v>Земельні питання</v>
      </c>
      <c r="F2237" s="1" t="str">
        <f t="shared" si="40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37" s="1" t="str">
        <f>"14"</f>
        <v>14</v>
      </c>
      <c r="H2237" s="1" t="str">
        <f>"Результат"</f>
        <v>Результат</v>
      </c>
      <c r="I2237" s="1" t="str">
        <f>"Позитивний"</f>
        <v>Позитивний</v>
      </c>
      <c r="J2237" s="1" t="str">
        <f>"Ні"</f>
        <v>Ні</v>
      </c>
    </row>
    <row r="2238" spans="1:10" ht="135" x14ac:dyDescent="0.25">
      <c r="A2238" s="1" t="str">
        <f>"2281-2020/27"</f>
        <v>2281-2020/27</v>
      </c>
      <c r="B2238" s="1" t="str">
        <f t="shared" si="398"/>
        <v>08.05.2020</v>
      </c>
      <c r="C2238" s="1" t="str">
        <f t="shared" si="387"/>
        <v>Закрито</v>
      </c>
      <c r="D223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38" s="1" t="str">
        <f t="shared" si="399"/>
        <v>Земельні питання</v>
      </c>
      <c r="F2238" s="1" t="str">
        <f t="shared" si="40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38" s="1" t="str">
        <f>"3"</f>
        <v>3</v>
      </c>
      <c r="H2238" s="1" t="str">
        <f>"Результат"</f>
        <v>Результат</v>
      </c>
      <c r="I2238" s="1" t="str">
        <f>"Позитивний"</f>
        <v>Позитивний</v>
      </c>
      <c r="J2238" s="1" t="str">
        <f>"Ні"</f>
        <v>Ні</v>
      </c>
    </row>
    <row r="2239" spans="1:10" ht="135" x14ac:dyDescent="0.25">
      <c r="A2239" s="1" t="str">
        <f>"2276-2020/27"</f>
        <v>2276-2020/27</v>
      </c>
      <c r="B2239" s="1" t="str">
        <f t="shared" si="398"/>
        <v>08.05.2020</v>
      </c>
      <c r="C2239" s="1" t="str">
        <f t="shared" si="387"/>
        <v>Закрито</v>
      </c>
      <c r="D223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39" s="1" t="str">
        <f t="shared" si="399"/>
        <v>Земельні питання</v>
      </c>
      <c r="F2239" s="1" t="str">
        <f t="shared" si="400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39" s="1" t="str">
        <f>"14"</f>
        <v>14</v>
      </c>
      <c r="H2239" s="1" t="str">
        <f>"Результат"</f>
        <v>Результат</v>
      </c>
      <c r="I2239" s="1" t="str">
        <f>"Позитивний"</f>
        <v>Позитивний</v>
      </c>
      <c r="J2239" s="1" t="str">
        <f>"Ні"</f>
        <v>Ні</v>
      </c>
    </row>
    <row r="2240" spans="1:10" ht="45" x14ac:dyDescent="0.25">
      <c r="A2240" s="1" t="str">
        <f>"2275-2020/27"</f>
        <v>2275-2020/27</v>
      </c>
      <c r="B2240" s="1" t="str">
        <f t="shared" si="398"/>
        <v>08.05.2020</v>
      </c>
      <c r="C2240" s="1" t="str">
        <f t="shared" si="387"/>
        <v>Закрито</v>
      </c>
      <c r="D2240" s="1" t="str">
        <f>"Реєстрація місця проживання особи"</f>
        <v>Реєстрація місця проживання особи</v>
      </c>
      <c r="E2240" s="1" t="str">
        <f>"Реєстрація місця проживання"</f>
        <v>Реєстрація місця проживання</v>
      </c>
      <c r="F2240" s="1" t="str">
        <f>"Відділ реєстрації Новокаховської міської ради"</f>
        <v>Відділ реєстрації Новокаховської міської ради</v>
      </c>
      <c r="G2240" s="1" t="str">
        <f>"1"</f>
        <v>1</v>
      </c>
      <c r="H2240" s="1" t="str">
        <f>"Результат"</f>
        <v>Результат</v>
      </c>
      <c r="I2240" s="1" t="str">
        <f>"Позитивний"</f>
        <v>Позитивний</v>
      </c>
      <c r="J2240" s="1" t="str">
        <f>"Так"</f>
        <v>Так</v>
      </c>
    </row>
    <row r="2241" spans="1:10" ht="45" x14ac:dyDescent="0.25">
      <c r="A2241" s="1" t="str">
        <f>"2279-2020/27"</f>
        <v>2279-2020/27</v>
      </c>
      <c r="B2241" s="1" t="str">
        <f t="shared" si="398"/>
        <v>08.05.2020</v>
      </c>
      <c r="C2241" s="1" t="str">
        <f t="shared" si="387"/>
        <v>Закрито</v>
      </c>
      <c r="D2241" s="1" t="str">
        <f>"Реєстрація місця проживання особи"</f>
        <v>Реєстрація місця проживання особи</v>
      </c>
      <c r="E2241" s="1" t="str">
        <f>"Реєстрація місця проживання"</f>
        <v>Реєстрація місця проживання</v>
      </c>
      <c r="F2241" s="1" t="str">
        <f>"Відділ реєстрації Новокаховської міської ради"</f>
        <v>Відділ реєстрації Новокаховської міської ради</v>
      </c>
      <c r="G2241" s="1" t="str">
        <f>"1"</f>
        <v>1</v>
      </c>
      <c r="H2241" s="1" t="str">
        <f>"Результат"</f>
        <v>Результат</v>
      </c>
      <c r="I2241" s="1" t="str">
        <f>"Позитивний"</f>
        <v>Позитивний</v>
      </c>
      <c r="J2241" s="1" t="str">
        <f>"Так"</f>
        <v>Так</v>
      </c>
    </row>
    <row r="2242" spans="1:10" ht="45" x14ac:dyDescent="0.25">
      <c r="A2242" s="1" t="str">
        <f>"2293-2020/27"</f>
        <v>2293-2020/27</v>
      </c>
      <c r="B2242" s="1" t="str">
        <f t="shared" ref="B2242:B2268" si="401">"12.05.2020"</f>
        <v>12.05.2020</v>
      </c>
      <c r="C2242" s="1" t="str">
        <f t="shared" si="387"/>
        <v>Закрито</v>
      </c>
      <c r="D2242" s="1" t="str">
        <f>"Зняття з реєстрації місця проживання"</f>
        <v>Зняття з реєстрації місця проживання</v>
      </c>
      <c r="E2242" s="1" t="str">
        <f>"Реєстрація місця проживання"</f>
        <v>Реєстрація місця проживання</v>
      </c>
      <c r="F2242" s="1" t="str">
        <f>"Відділ реєстрації Новокаховської міської ради"</f>
        <v>Відділ реєстрації Новокаховської міської ради</v>
      </c>
      <c r="G2242" s="1" t="str">
        <f>"1"</f>
        <v>1</v>
      </c>
      <c r="H2242" s="1" t="str">
        <f>"Результат"</f>
        <v>Результат</v>
      </c>
      <c r="I2242" s="1" t="str">
        <f>"Позитивний"</f>
        <v>Позитивний</v>
      </c>
      <c r="J2242" s="1" t="str">
        <f>"Так"</f>
        <v>Так</v>
      </c>
    </row>
    <row r="2243" spans="1:10" ht="135" x14ac:dyDescent="0.25">
      <c r="A2243" s="1" t="str">
        <f>"2295-2020/27"</f>
        <v>2295-2020/27</v>
      </c>
      <c r="B2243" s="1" t="str">
        <f t="shared" si="401"/>
        <v>12.05.2020</v>
      </c>
      <c r="C2243" s="1" t="str">
        <f t="shared" ref="C2243:C2306" si="402">"Закрито"</f>
        <v>Закрито</v>
      </c>
      <c r="D224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43" s="1" t="str">
        <f>"Земельні питання"</f>
        <v>Земельні питання</v>
      </c>
      <c r="F22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43" s="1" t="str">
        <f>"3"</f>
        <v>3</v>
      </c>
      <c r="H2243" s="1" t="str">
        <f>"Результат"</f>
        <v>Результат</v>
      </c>
      <c r="I2243" s="1" t="str">
        <f>"Позитивний"</f>
        <v>Позитивний</v>
      </c>
      <c r="J2243" s="1" t="str">
        <f>"Ні"</f>
        <v>Ні</v>
      </c>
    </row>
    <row r="2244" spans="1:10" ht="45" x14ac:dyDescent="0.25">
      <c r="A2244" s="1" t="str">
        <f>"2286-2020/27"</f>
        <v>2286-2020/27</v>
      </c>
      <c r="B2244" s="1" t="str">
        <f t="shared" si="401"/>
        <v>12.05.2020</v>
      </c>
      <c r="C2244" s="1" t="str">
        <f t="shared" si="402"/>
        <v>Закрито</v>
      </c>
      <c r="D2244" s="1" t="str">
        <f>"Реєстрація місця проживання особи"</f>
        <v>Реєстрація місця проживання особи</v>
      </c>
      <c r="E2244" s="1" t="str">
        <f>"Реєстрація місця проживання"</f>
        <v>Реєстрація місця проживання</v>
      </c>
      <c r="F2244" s="1" t="str">
        <f>"Відділ реєстрації Новокаховської міської ради"</f>
        <v>Відділ реєстрації Новокаховської міської ради</v>
      </c>
      <c r="G2244" s="1" t="str">
        <f>"1"</f>
        <v>1</v>
      </c>
      <c r="H2244" s="1" t="str">
        <f>"Результат"</f>
        <v>Результат</v>
      </c>
      <c r="I2244" s="1" t="str">
        <f>"Позитивний"</f>
        <v>Позитивний</v>
      </c>
      <c r="J2244" s="1" t="str">
        <f>"Так"</f>
        <v>Так</v>
      </c>
    </row>
    <row r="2245" spans="1:10" ht="135" x14ac:dyDescent="0.25">
      <c r="A2245" s="1" t="str">
        <f>"2299-2020/27"</f>
        <v>2299-2020/27</v>
      </c>
      <c r="B2245" s="1" t="str">
        <f t="shared" si="401"/>
        <v>12.05.2020</v>
      </c>
      <c r="C2245" s="1" t="str">
        <f t="shared" si="402"/>
        <v>Закрито</v>
      </c>
      <c r="D22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45" s="1" t="str">
        <f t="shared" ref="E2245:E2252" si="403">"Земельні питання"</f>
        <v>Земельні питання</v>
      </c>
      <c r="F2245" s="1" t="str">
        <f t="shared" ref="F2245:F2252" si="404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45" s="1" t="str">
        <f>"3"</f>
        <v>3</v>
      </c>
      <c r="H2245" s="1" t="str">
        <f>"Результат"</f>
        <v>Результат</v>
      </c>
      <c r="I2245" s="1" t="str">
        <f>"Позитивний"</f>
        <v>Позитивний</v>
      </c>
      <c r="J2245" s="1" t="str">
        <f>"Ні"</f>
        <v>Ні</v>
      </c>
    </row>
    <row r="2246" spans="1:10" ht="135" x14ac:dyDescent="0.25">
      <c r="A2246" s="1" t="str">
        <f>"2283-2020/27"</f>
        <v>2283-2020/27</v>
      </c>
      <c r="B2246" s="1" t="str">
        <f t="shared" si="401"/>
        <v>12.05.2020</v>
      </c>
      <c r="C2246" s="1" t="str">
        <f t="shared" si="402"/>
        <v>Закрито</v>
      </c>
      <c r="D224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46" s="1" t="str">
        <f t="shared" si="403"/>
        <v>Земельні питання</v>
      </c>
      <c r="F2246" s="1" t="str">
        <f t="shared" si="40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46" s="1" t="str">
        <f>"1"</f>
        <v>1</v>
      </c>
      <c r="H2246" s="1" t="str">
        <f>"Результат"</f>
        <v>Результат</v>
      </c>
      <c r="I2246" s="1" t="str">
        <f>"Позитивний"</f>
        <v>Позитивний</v>
      </c>
      <c r="J2246" s="1" t="str">
        <f>"Так"</f>
        <v>Так</v>
      </c>
    </row>
    <row r="2247" spans="1:10" ht="135" x14ac:dyDescent="0.25">
      <c r="A2247" s="1" t="str">
        <f>"2305-2020/27"</f>
        <v>2305-2020/27</v>
      </c>
      <c r="B2247" s="1" t="str">
        <f t="shared" si="401"/>
        <v>12.05.2020</v>
      </c>
      <c r="C2247" s="1" t="str">
        <f t="shared" si="402"/>
        <v>Закрито</v>
      </c>
      <c r="D224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247" s="1" t="str">
        <f t="shared" si="403"/>
        <v>Земельні питання</v>
      </c>
      <c r="F2247" s="1" t="str">
        <f t="shared" si="40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47" s="1" t="str">
        <f>"14"</f>
        <v>14</v>
      </c>
      <c r="H2247" s="1" t="str">
        <f>"Результат"</f>
        <v>Результат</v>
      </c>
      <c r="I2247" s="1" t="str">
        <f>"Позитивний"</f>
        <v>Позитивний</v>
      </c>
      <c r="J2247" s="1" t="str">
        <f t="shared" ref="J2247:J2252" si="405">"Ні"</f>
        <v>Ні</v>
      </c>
    </row>
    <row r="2248" spans="1:10" ht="135" x14ac:dyDescent="0.25">
      <c r="A2248" s="1" t="str">
        <f>"2296-2020/27"</f>
        <v>2296-2020/27</v>
      </c>
      <c r="B2248" s="1" t="str">
        <f t="shared" si="401"/>
        <v>12.05.2020</v>
      </c>
      <c r="C2248" s="1" t="str">
        <f t="shared" si="402"/>
        <v>Закрито</v>
      </c>
      <c r="D224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48" s="1" t="str">
        <f t="shared" si="403"/>
        <v>Земельні питання</v>
      </c>
      <c r="F2248" s="1" t="str">
        <f t="shared" si="40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48" s="1" t="str">
        <f>"3"</f>
        <v>3</v>
      </c>
      <c r="H2248" s="1" t="str">
        <f>"Результат"</f>
        <v>Результат</v>
      </c>
      <c r="I2248" s="1" t="str">
        <f>"Позитивний"</f>
        <v>Позитивний</v>
      </c>
      <c r="J2248" s="1" t="str">
        <f t="shared" si="405"/>
        <v>Ні</v>
      </c>
    </row>
    <row r="2249" spans="1:10" ht="135" x14ac:dyDescent="0.25">
      <c r="A2249" s="1" t="str">
        <f>"2291-2020/27"</f>
        <v>2291-2020/27</v>
      </c>
      <c r="B2249" s="1" t="str">
        <f t="shared" si="401"/>
        <v>12.05.2020</v>
      </c>
      <c r="C2249" s="1" t="str">
        <f t="shared" si="402"/>
        <v>Закрито</v>
      </c>
      <c r="D224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49" s="1" t="str">
        <f t="shared" si="403"/>
        <v>Земельні питання</v>
      </c>
      <c r="F2249" s="1" t="str">
        <f t="shared" si="40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49" s="1" t="str">
        <f>"14"</f>
        <v>14</v>
      </c>
      <c r="H2249" s="1" t="str">
        <f>"Результат"</f>
        <v>Результат</v>
      </c>
      <c r="I2249" s="1" t="str">
        <f>"Позитивний"</f>
        <v>Позитивний</v>
      </c>
      <c r="J2249" s="1" t="str">
        <f t="shared" si="405"/>
        <v>Ні</v>
      </c>
    </row>
    <row r="2250" spans="1:10" ht="135" x14ac:dyDescent="0.25">
      <c r="A2250" s="1" t="str">
        <f>"2308-2020/27"</f>
        <v>2308-2020/27</v>
      </c>
      <c r="B2250" s="1" t="str">
        <f t="shared" si="401"/>
        <v>12.05.2020</v>
      </c>
      <c r="C2250" s="1" t="str">
        <f t="shared" si="402"/>
        <v>Закрито</v>
      </c>
      <c r="D225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50" s="1" t="str">
        <f t="shared" si="403"/>
        <v>Земельні питання</v>
      </c>
      <c r="F2250" s="1" t="str">
        <f t="shared" si="40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50" s="1" t="str">
        <f>"3"</f>
        <v>3</v>
      </c>
      <c r="H2250" s="1" t="str">
        <f>"Результат"</f>
        <v>Результат</v>
      </c>
      <c r="I2250" s="1" t="str">
        <f>"Позитивний"</f>
        <v>Позитивний</v>
      </c>
      <c r="J2250" s="1" t="str">
        <f t="shared" si="405"/>
        <v>Ні</v>
      </c>
    </row>
    <row r="2251" spans="1:10" ht="135" x14ac:dyDescent="0.25">
      <c r="A2251" s="1" t="str">
        <f>"2306-2020/27"</f>
        <v>2306-2020/27</v>
      </c>
      <c r="B2251" s="1" t="str">
        <f t="shared" si="401"/>
        <v>12.05.2020</v>
      </c>
      <c r="C2251" s="1" t="str">
        <f t="shared" si="402"/>
        <v>Закрито</v>
      </c>
      <c r="D225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51" s="1" t="str">
        <f t="shared" si="403"/>
        <v>Земельні питання</v>
      </c>
      <c r="F2251" s="1" t="str">
        <f t="shared" si="40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51" s="1" t="str">
        <f>"3"</f>
        <v>3</v>
      </c>
      <c r="H2251" s="1" t="str">
        <f>"Результат"</f>
        <v>Результат</v>
      </c>
      <c r="I2251" s="1" t="str">
        <f>"Позитивний"</f>
        <v>Позитивний</v>
      </c>
      <c r="J2251" s="1" t="str">
        <f t="shared" si="405"/>
        <v>Ні</v>
      </c>
    </row>
    <row r="2252" spans="1:10" ht="135" x14ac:dyDescent="0.25">
      <c r="A2252" s="1" t="str">
        <f>"2309-2020/27"</f>
        <v>2309-2020/27</v>
      </c>
      <c r="B2252" s="1" t="str">
        <f t="shared" si="401"/>
        <v>12.05.2020</v>
      </c>
      <c r="C2252" s="1" t="str">
        <f t="shared" si="402"/>
        <v>Закрито</v>
      </c>
      <c r="D225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52" s="1" t="str">
        <f t="shared" si="403"/>
        <v>Земельні питання</v>
      </c>
      <c r="F2252" s="1" t="str">
        <f t="shared" si="40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52" s="1" t="str">
        <f>"3"</f>
        <v>3</v>
      </c>
      <c r="H2252" s="1" t="str">
        <f>"Результат"</f>
        <v>Результат</v>
      </c>
      <c r="I2252" s="1" t="str">
        <f>"Позитивний"</f>
        <v>Позитивний</v>
      </c>
      <c r="J2252" s="1" t="str">
        <f t="shared" si="405"/>
        <v>Ні</v>
      </c>
    </row>
    <row r="2253" spans="1:10" ht="45" x14ac:dyDescent="0.25">
      <c r="A2253" s="1" t="str">
        <f>"2288-2020/27"</f>
        <v>2288-2020/27</v>
      </c>
      <c r="B2253" s="1" t="str">
        <f t="shared" si="401"/>
        <v>12.05.2020</v>
      </c>
      <c r="C2253" s="1" t="str">
        <f t="shared" si="402"/>
        <v>Закрито</v>
      </c>
      <c r="D2253" s="1" t="str">
        <f>"Зняття з реєстрації місця проживання"</f>
        <v>Зняття з реєстрації місця проживання</v>
      </c>
      <c r="E2253" s="1" t="str">
        <f>"Реєстрація місця проживання"</f>
        <v>Реєстрація місця проживання</v>
      </c>
      <c r="F2253" s="1" t="str">
        <f>"Відділ реєстрації Новокаховської міської ради"</f>
        <v>Відділ реєстрації Новокаховської міської ради</v>
      </c>
      <c r="G2253" s="1" t="str">
        <f>"1"</f>
        <v>1</v>
      </c>
      <c r="H2253" s="1" t="str">
        <f>"Результат"</f>
        <v>Результат</v>
      </c>
      <c r="I2253" s="1" t="str">
        <f>"Позитивний"</f>
        <v>Позитивний</v>
      </c>
      <c r="J2253" s="1" t="str">
        <f>"Так"</f>
        <v>Так</v>
      </c>
    </row>
    <row r="2254" spans="1:10" ht="135" x14ac:dyDescent="0.25">
      <c r="A2254" s="1" t="str">
        <f>"2294-2020/27"</f>
        <v>2294-2020/27</v>
      </c>
      <c r="B2254" s="1" t="str">
        <f t="shared" si="401"/>
        <v>12.05.2020</v>
      </c>
      <c r="C2254" s="1" t="str">
        <f t="shared" si="402"/>
        <v>Закрито</v>
      </c>
      <c r="D225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54" s="1" t="str">
        <f>"Земельні питання"</f>
        <v>Земельні питання</v>
      </c>
      <c r="F22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54" s="1" t="str">
        <f>"3"</f>
        <v>3</v>
      </c>
      <c r="H2254" s="1" t="str">
        <f>"Результат"</f>
        <v>Результат</v>
      </c>
      <c r="I2254" s="1" t="str">
        <f>"Позитивний"</f>
        <v>Позитивний</v>
      </c>
      <c r="J2254" s="1" t="str">
        <f>"Ні"</f>
        <v>Ні</v>
      </c>
    </row>
    <row r="2255" spans="1:10" ht="135" x14ac:dyDescent="0.25">
      <c r="A2255" s="1" t="str">
        <f>"2287-2020/27"</f>
        <v>2287-2020/27</v>
      </c>
      <c r="B2255" s="1" t="str">
        <f t="shared" si="401"/>
        <v>12.05.2020</v>
      </c>
      <c r="C2255" s="1" t="str">
        <f t="shared" si="402"/>
        <v>Закрито</v>
      </c>
      <c r="D225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55" s="1" t="str">
        <f>"Земельні питання"</f>
        <v>Земельні питання</v>
      </c>
      <c r="F22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55" s="1" t="str">
        <f>"1"</f>
        <v>1</v>
      </c>
      <c r="H2255" s="1" t="str">
        <f>"Результат"</f>
        <v>Результат</v>
      </c>
      <c r="I2255" s="1" t="str">
        <f>"Позитивний"</f>
        <v>Позитивний</v>
      </c>
      <c r="J2255" s="1" t="str">
        <f>"Ні"</f>
        <v>Ні</v>
      </c>
    </row>
    <row r="2256" spans="1:10" ht="135" x14ac:dyDescent="0.25">
      <c r="A2256" s="1" t="str">
        <f>"2284-2020/27"</f>
        <v>2284-2020/27</v>
      </c>
      <c r="B2256" s="1" t="str">
        <f t="shared" si="401"/>
        <v>12.05.2020</v>
      </c>
      <c r="C2256" s="1" t="str">
        <f t="shared" si="402"/>
        <v>Закрито</v>
      </c>
      <c r="D22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56" s="1" t="str">
        <f>"Земельні питання"</f>
        <v>Земельні питання</v>
      </c>
      <c r="F22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56" s="1" t="str">
        <f>"3"</f>
        <v>3</v>
      </c>
      <c r="H2256" s="1" t="str">
        <f>"Результат"</f>
        <v>Результат</v>
      </c>
      <c r="I2256" s="1" t="str">
        <f>"Позитивний"</f>
        <v>Позитивний</v>
      </c>
      <c r="J2256" s="1" t="str">
        <f>"Ні"</f>
        <v>Ні</v>
      </c>
    </row>
    <row r="2257" spans="1:10" ht="45" x14ac:dyDescent="0.25">
      <c r="A2257" s="1" t="str">
        <f>"2302-2020/27"</f>
        <v>2302-2020/27</v>
      </c>
      <c r="B2257" s="1" t="str">
        <f t="shared" si="401"/>
        <v>12.05.2020</v>
      </c>
      <c r="C2257" s="1" t="str">
        <f t="shared" si="402"/>
        <v>Закрито</v>
      </c>
      <c r="D2257" s="1" t="str">
        <f>"Зняття з реєстрації місця проживання"</f>
        <v>Зняття з реєстрації місця проживання</v>
      </c>
      <c r="E2257" s="1" t="str">
        <f>"Реєстрація місця проживання"</f>
        <v>Реєстрація місця проживання</v>
      </c>
      <c r="F2257" s="1" t="str">
        <f>"Відділ реєстрації Новокаховської міської ради"</f>
        <v>Відділ реєстрації Новокаховської міської ради</v>
      </c>
      <c r="G2257" s="1" t="str">
        <f>"1"</f>
        <v>1</v>
      </c>
      <c r="H2257" s="1" t="str">
        <f>"Результат"</f>
        <v>Результат</v>
      </c>
      <c r="I2257" s="1" t="str">
        <f>"Позитивний"</f>
        <v>Позитивний</v>
      </c>
      <c r="J2257" s="1" t="str">
        <f>"Так"</f>
        <v>Так</v>
      </c>
    </row>
    <row r="2258" spans="1:10" ht="45" x14ac:dyDescent="0.25">
      <c r="A2258" s="1" t="str">
        <f>"2285-2020/27"</f>
        <v>2285-2020/27</v>
      </c>
      <c r="B2258" s="1" t="str">
        <f t="shared" si="401"/>
        <v>12.05.2020</v>
      </c>
      <c r="C2258" s="1" t="str">
        <f t="shared" si="402"/>
        <v>Закрито</v>
      </c>
      <c r="D2258" s="1" t="str">
        <f>"Зняття з реєстрації місця проживання"</f>
        <v>Зняття з реєстрації місця проживання</v>
      </c>
      <c r="E2258" s="1" t="str">
        <f>"Реєстрація місця проживання"</f>
        <v>Реєстрація місця проживання</v>
      </c>
      <c r="F2258" s="1" t="str">
        <f>"Відділ реєстрації Новокаховської міської ради"</f>
        <v>Відділ реєстрації Новокаховської міської ради</v>
      </c>
      <c r="G2258" s="1" t="str">
        <f>"1"</f>
        <v>1</v>
      </c>
      <c r="H2258" s="1" t="str">
        <f>"Результат"</f>
        <v>Результат</v>
      </c>
      <c r="I2258" s="1" t="str">
        <f>"Позитивний"</f>
        <v>Позитивний</v>
      </c>
      <c r="J2258" s="1" t="str">
        <f>"Так"</f>
        <v>Так</v>
      </c>
    </row>
    <row r="2259" spans="1:10" ht="135" x14ac:dyDescent="0.25">
      <c r="A2259" s="1" t="str">
        <f>"2292-2020/27"</f>
        <v>2292-2020/27</v>
      </c>
      <c r="B2259" s="1" t="str">
        <f t="shared" si="401"/>
        <v>12.05.2020</v>
      </c>
      <c r="C2259" s="1" t="str">
        <f t="shared" si="402"/>
        <v>Закрито</v>
      </c>
      <c r="D22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59" s="1" t="str">
        <f>"Земельні питання"</f>
        <v>Земельні питання</v>
      </c>
      <c r="F22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59" s="1" t="str">
        <f>"1"</f>
        <v>1</v>
      </c>
      <c r="H2259" s="1" t="str">
        <f>"Результат"</f>
        <v>Результат</v>
      </c>
      <c r="I2259" s="1" t="str">
        <f>"Позитивний"</f>
        <v>Позитивний</v>
      </c>
      <c r="J2259" s="1" t="str">
        <f>"Так"</f>
        <v>Так</v>
      </c>
    </row>
    <row r="2260" spans="1:10" ht="225" x14ac:dyDescent="0.25">
      <c r="A2260" s="1" t="str">
        <f>"2303-2020/27"</f>
        <v>2303-2020/27</v>
      </c>
      <c r="B2260" s="1" t="str">
        <f t="shared" si="401"/>
        <v>12.05.2020</v>
      </c>
      <c r="C2260" s="1" t="str">
        <f t="shared" si="402"/>
        <v>Закрито</v>
      </c>
      <c r="D2260" s="1" t="s">
        <v>1</v>
      </c>
      <c r="E2260" s="1" t="str">
        <f>"Будівництво"</f>
        <v>Будівництво</v>
      </c>
      <c r="F226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260" s="1" t="str">
        <f>"30"</f>
        <v>30</v>
      </c>
      <c r="H2260" s="1" t="str">
        <f>"Результат"</f>
        <v>Результат</v>
      </c>
      <c r="I2260" s="1" t="str">
        <f>"Позитивний"</f>
        <v>Позитивний</v>
      </c>
      <c r="J2260" s="1" t="str">
        <f>"Ні"</f>
        <v>Ні</v>
      </c>
    </row>
    <row r="2261" spans="1:10" ht="90" x14ac:dyDescent="0.25">
      <c r="A2261" s="1" t="str">
        <f>"2304-2020/27"</f>
        <v>2304-2020/27</v>
      </c>
      <c r="B2261" s="1" t="str">
        <f t="shared" si="401"/>
        <v>12.05.2020</v>
      </c>
      <c r="C2261" s="1" t="str">
        <f t="shared" si="402"/>
        <v>Закрито</v>
      </c>
      <c r="D226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61" s="1" t="str">
        <f>"Інші послуги"</f>
        <v>Інші послуги</v>
      </c>
      <c r="F226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61" s="1" t="str">
        <f>"5"</f>
        <v>5</v>
      </c>
      <c r="H2261" s="1" t="str">
        <f>"Результат"</f>
        <v>Результат</v>
      </c>
      <c r="I2261" s="1" t="str">
        <f>"Позитивний"</f>
        <v>Позитивний</v>
      </c>
      <c r="J2261" s="1" t="str">
        <f>"Ні"</f>
        <v>Ні</v>
      </c>
    </row>
    <row r="2262" spans="1:10" ht="135" x14ac:dyDescent="0.25">
      <c r="A2262" s="1" t="str">
        <f>"2290-2020/27"</f>
        <v>2290-2020/27</v>
      </c>
      <c r="B2262" s="1" t="str">
        <f t="shared" si="401"/>
        <v>12.05.2020</v>
      </c>
      <c r="C2262" s="1" t="str">
        <f t="shared" si="402"/>
        <v>Закрито</v>
      </c>
      <c r="D226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62" s="1" t="str">
        <f>"Земельні питання"</f>
        <v>Земельні питання</v>
      </c>
      <c r="F22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62" s="1" t="str">
        <f>"14"</f>
        <v>14</v>
      </c>
      <c r="H2262" s="1" t="str">
        <f>"Результат"</f>
        <v>Результат</v>
      </c>
      <c r="I2262" s="1" t="str">
        <f>"Позитивний"</f>
        <v>Позитивний</v>
      </c>
      <c r="J2262" s="1" t="str">
        <f>"Ні"</f>
        <v>Ні</v>
      </c>
    </row>
    <row r="2263" spans="1:10" ht="45" x14ac:dyDescent="0.25">
      <c r="A2263" s="1" t="str">
        <f>"2301-2020/27"</f>
        <v>2301-2020/27</v>
      </c>
      <c r="B2263" s="1" t="str">
        <f t="shared" si="401"/>
        <v>12.05.2020</v>
      </c>
      <c r="C2263" s="1" t="str">
        <f t="shared" si="402"/>
        <v>Закрито</v>
      </c>
      <c r="D2263" s="1" t="str">
        <f>"Зняття з реєстрації місця проживання"</f>
        <v>Зняття з реєстрації місця проживання</v>
      </c>
      <c r="E2263" s="1" t="str">
        <f>"Реєстрація місця проживання"</f>
        <v>Реєстрація місця проживання</v>
      </c>
      <c r="F2263" s="1" t="str">
        <f>"Відділ реєстрації Новокаховської міської ради"</f>
        <v>Відділ реєстрації Новокаховської міської ради</v>
      </c>
      <c r="G2263" s="1" t="str">
        <f>"1"</f>
        <v>1</v>
      </c>
      <c r="H2263" s="1" t="str">
        <f>"Результат"</f>
        <v>Результат</v>
      </c>
      <c r="I2263" s="1" t="str">
        <f>"Позитивний"</f>
        <v>Позитивний</v>
      </c>
      <c r="J2263" s="1" t="str">
        <f>"Так"</f>
        <v>Так</v>
      </c>
    </row>
    <row r="2264" spans="1:10" ht="135" x14ac:dyDescent="0.25">
      <c r="A2264" s="1" t="str">
        <f>"2307-2020/27"</f>
        <v>2307-2020/27</v>
      </c>
      <c r="B2264" s="1" t="str">
        <f t="shared" si="401"/>
        <v>12.05.2020</v>
      </c>
      <c r="C2264" s="1" t="str">
        <f t="shared" si="402"/>
        <v>Закрито</v>
      </c>
      <c r="D226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64" s="1" t="str">
        <f>"Земельні питання"</f>
        <v>Земельні питання</v>
      </c>
      <c r="F22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64" s="1" t="str">
        <f>"3"</f>
        <v>3</v>
      </c>
      <c r="H2264" s="1" t="str">
        <f>"Результат"</f>
        <v>Результат</v>
      </c>
      <c r="I2264" s="1" t="str">
        <f>"Позитивний"</f>
        <v>Позитивний</v>
      </c>
      <c r="J2264" s="1" t="str">
        <f>"Ні"</f>
        <v>Ні</v>
      </c>
    </row>
    <row r="2265" spans="1:10" ht="135" x14ac:dyDescent="0.25">
      <c r="A2265" s="1" t="str">
        <f>"2300-2020/27"</f>
        <v>2300-2020/27</v>
      </c>
      <c r="B2265" s="1" t="str">
        <f t="shared" si="401"/>
        <v>12.05.2020</v>
      </c>
      <c r="C2265" s="1" t="str">
        <f t="shared" si="402"/>
        <v>Закрито</v>
      </c>
      <c r="D226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65" s="1" t="str">
        <f>"Земельні питання"</f>
        <v>Земельні питання</v>
      </c>
      <c r="F22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65" s="1" t="str">
        <f>"3"</f>
        <v>3</v>
      </c>
      <c r="H2265" s="1" t="str">
        <f>"Результат"</f>
        <v>Результат</v>
      </c>
      <c r="I2265" s="1" t="str">
        <f>"Позитивний"</f>
        <v>Позитивний</v>
      </c>
      <c r="J2265" s="1" t="str">
        <f>"Ні"</f>
        <v>Ні</v>
      </c>
    </row>
    <row r="2266" spans="1:10" ht="135" x14ac:dyDescent="0.25">
      <c r="A2266" s="1" t="str">
        <f>"2297-2020/27"</f>
        <v>2297-2020/27</v>
      </c>
      <c r="B2266" s="1" t="str">
        <f t="shared" si="401"/>
        <v>12.05.2020</v>
      </c>
      <c r="C2266" s="1" t="str">
        <f t="shared" si="402"/>
        <v>Закрито</v>
      </c>
      <c r="D22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66" s="1" t="str">
        <f>"Земельні питання"</f>
        <v>Земельні питання</v>
      </c>
      <c r="F22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66" s="1" t="str">
        <f>"3"</f>
        <v>3</v>
      </c>
      <c r="H2266" s="1" t="str">
        <f>"Результат"</f>
        <v>Результат</v>
      </c>
      <c r="I2266" s="1" t="str">
        <f>"Позитивний"</f>
        <v>Позитивний</v>
      </c>
      <c r="J2266" s="1" t="str">
        <f>"Ні"</f>
        <v>Ні</v>
      </c>
    </row>
    <row r="2267" spans="1:10" ht="135" x14ac:dyDescent="0.25">
      <c r="A2267" s="1" t="str">
        <f>"2298-2020/27"</f>
        <v>2298-2020/27</v>
      </c>
      <c r="B2267" s="1" t="str">
        <f t="shared" si="401"/>
        <v>12.05.2020</v>
      </c>
      <c r="C2267" s="1" t="str">
        <f t="shared" si="402"/>
        <v>Закрито</v>
      </c>
      <c r="D226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267" s="1" t="str">
        <f>"Земельні питання"</f>
        <v>Земельні питання</v>
      </c>
      <c r="F22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67" s="1" t="str">
        <f>"3"</f>
        <v>3</v>
      </c>
      <c r="H2267" s="1" t="str">
        <f>"Результат"</f>
        <v>Результат</v>
      </c>
      <c r="I2267" s="1" t="str">
        <f>"Позитивний"</f>
        <v>Позитивний</v>
      </c>
      <c r="J2267" s="1" t="str">
        <f>"Ні"</f>
        <v>Ні</v>
      </c>
    </row>
    <row r="2268" spans="1:10" ht="90" x14ac:dyDescent="0.25">
      <c r="A2268" s="1" t="str">
        <f>"2289-2020/27"</f>
        <v>2289-2020/27</v>
      </c>
      <c r="B2268" s="1" t="str">
        <f t="shared" si="401"/>
        <v>12.05.2020</v>
      </c>
      <c r="C2268" s="1" t="str">
        <f t="shared" si="402"/>
        <v>Закрито</v>
      </c>
      <c r="D226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68" s="1" t="str">
        <f>"Інші послуги"</f>
        <v>Інші послуги</v>
      </c>
      <c r="F226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68" s="1" t="str">
        <f>"5"</f>
        <v>5</v>
      </c>
      <c r="H2268" s="1" t="str">
        <f>"Результат"</f>
        <v>Результат</v>
      </c>
      <c r="I2268" s="1" t="str">
        <f>"Позитивний"</f>
        <v>Позитивний</v>
      </c>
      <c r="J2268" s="1" t="str">
        <f>"Ні"</f>
        <v>Ні</v>
      </c>
    </row>
    <row r="2269" spans="1:10" ht="135" x14ac:dyDescent="0.25">
      <c r="A2269" s="1" t="str">
        <f>"2315-2020/27"</f>
        <v>2315-2020/27</v>
      </c>
      <c r="B2269" s="1" t="str">
        <f t="shared" ref="B2269:B2284" si="406">"13.05.2020"</f>
        <v>13.05.2020</v>
      </c>
      <c r="C2269" s="1" t="str">
        <f t="shared" si="402"/>
        <v>Закрито</v>
      </c>
      <c r="D226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69" s="1" t="str">
        <f>"Земельні питання"</f>
        <v>Земельні питання</v>
      </c>
      <c r="F22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69" s="1" t="str">
        <f t="shared" ref="G2269:G2274" si="407">"1"</f>
        <v>1</v>
      </c>
      <c r="H2269" s="1" t="str">
        <f>"Результат"</f>
        <v>Результат</v>
      </c>
      <c r="I2269" s="1" t="str">
        <f>"Позитивний"</f>
        <v>Позитивний</v>
      </c>
      <c r="J2269" s="1" t="str">
        <f t="shared" ref="J2269:J2274" si="408">"Так"</f>
        <v>Так</v>
      </c>
    </row>
    <row r="2270" spans="1:10" ht="135" x14ac:dyDescent="0.25">
      <c r="A2270" s="1" t="str">
        <f>"2310-2020/27"</f>
        <v>2310-2020/27</v>
      </c>
      <c r="B2270" s="1" t="str">
        <f t="shared" si="406"/>
        <v>13.05.2020</v>
      </c>
      <c r="C2270" s="1" t="str">
        <f t="shared" si="402"/>
        <v>Закрито</v>
      </c>
      <c r="D22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0" s="1" t="str">
        <f>"Земельні питання"</f>
        <v>Земельні питання</v>
      </c>
      <c r="F22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70" s="1" t="str">
        <f t="shared" si="407"/>
        <v>1</v>
      </c>
      <c r="H2270" s="1" t="str">
        <f>"Результат"</f>
        <v>Результат</v>
      </c>
      <c r="I2270" s="1" t="str">
        <f>"Позитивний"</f>
        <v>Позитивний</v>
      </c>
      <c r="J2270" s="1" t="str">
        <f t="shared" si="408"/>
        <v>Так</v>
      </c>
    </row>
    <row r="2271" spans="1:10" ht="135" x14ac:dyDescent="0.25">
      <c r="A2271" s="1" t="str">
        <f>"2318-2020/27"</f>
        <v>2318-2020/27</v>
      </c>
      <c r="B2271" s="1" t="str">
        <f t="shared" si="406"/>
        <v>13.05.2020</v>
      </c>
      <c r="C2271" s="1" t="str">
        <f t="shared" si="402"/>
        <v>Закрито</v>
      </c>
      <c r="D22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71" s="1" t="str">
        <f>"Земельні питання"</f>
        <v>Земельні питання</v>
      </c>
      <c r="F22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71" s="1" t="str">
        <f t="shared" si="407"/>
        <v>1</v>
      </c>
      <c r="H2271" s="1" t="str">
        <f>"Результат"</f>
        <v>Результат</v>
      </c>
      <c r="I2271" s="1" t="str">
        <f>"Позитивний"</f>
        <v>Позитивний</v>
      </c>
      <c r="J2271" s="1" t="str">
        <f t="shared" si="408"/>
        <v>Так</v>
      </c>
    </row>
    <row r="2272" spans="1:10" ht="45" x14ac:dyDescent="0.25">
      <c r="A2272" s="1" t="str">
        <f>"2316-2020/27"</f>
        <v>2316-2020/27</v>
      </c>
      <c r="B2272" s="1" t="str">
        <f t="shared" si="406"/>
        <v>13.05.2020</v>
      </c>
      <c r="C2272" s="1" t="str">
        <f t="shared" si="402"/>
        <v>Закрито</v>
      </c>
      <c r="D2272" s="1" t="str">
        <f>"Реєстрація місця проживання особи"</f>
        <v>Реєстрація місця проживання особи</v>
      </c>
      <c r="E2272" s="1" t="str">
        <f>"Реєстрація місця проживання"</f>
        <v>Реєстрація місця проживання</v>
      </c>
      <c r="F2272" s="1" t="str">
        <f>"Відділ реєстрації Новокаховської міської ради"</f>
        <v>Відділ реєстрації Новокаховської міської ради</v>
      </c>
      <c r="G2272" s="1" t="str">
        <f t="shared" si="407"/>
        <v>1</v>
      </c>
      <c r="H2272" s="1" t="str">
        <f>"Результат"</f>
        <v>Результат</v>
      </c>
      <c r="I2272" s="1" t="str">
        <f>"Позитивний"</f>
        <v>Позитивний</v>
      </c>
      <c r="J2272" s="1" t="str">
        <f t="shared" si="408"/>
        <v>Так</v>
      </c>
    </row>
    <row r="2273" spans="1:10" ht="45" x14ac:dyDescent="0.25">
      <c r="A2273" s="1" t="str">
        <f>"2322-2020/27"</f>
        <v>2322-2020/27</v>
      </c>
      <c r="B2273" s="1" t="str">
        <f t="shared" si="406"/>
        <v>13.05.2020</v>
      </c>
      <c r="C2273" s="1" t="str">
        <f t="shared" si="402"/>
        <v>Закрито</v>
      </c>
      <c r="D2273" s="1" t="str">
        <f>"Зняття з реєстрації місця проживання"</f>
        <v>Зняття з реєстрації місця проживання</v>
      </c>
      <c r="E2273" s="1" t="str">
        <f>"Реєстрація місця проживання"</f>
        <v>Реєстрація місця проживання</v>
      </c>
      <c r="F2273" s="1" t="str">
        <f>"Відділ реєстрації Новокаховської міської ради"</f>
        <v>Відділ реєстрації Новокаховської міської ради</v>
      </c>
      <c r="G2273" s="1" t="str">
        <f t="shared" si="407"/>
        <v>1</v>
      </c>
      <c r="H2273" s="1" t="str">
        <f>"Результат"</f>
        <v>Результат</v>
      </c>
      <c r="I2273" s="1" t="str">
        <f>"Позитивний"</f>
        <v>Позитивний</v>
      </c>
      <c r="J2273" s="1" t="str">
        <f t="shared" si="408"/>
        <v>Так</v>
      </c>
    </row>
    <row r="2274" spans="1:10" ht="45" x14ac:dyDescent="0.25">
      <c r="A2274" s="1" t="str">
        <f>"2314-2020/27"</f>
        <v>2314-2020/27</v>
      </c>
      <c r="B2274" s="1" t="str">
        <f t="shared" si="406"/>
        <v>13.05.2020</v>
      </c>
      <c r="C2274" s="1" t="str">
        <f t="shared" si="402"/>
        <v>Закрито</v>
      </c>
      <c r="D2274" s="1" t="str">
        <f>"Реєстрація місця проживання особи"</f>
        <v>Реєстрація місця проживання особи</v>
      </c>
      <c r="E2274" s="1" t="str">
        <f>"Реєстрація місця проживання"</f>
        <v>Реєстрація місця проживання</v>
      </c>
      <c r="F2274" s="1" t="str">
        <f>"Відділ реєстрації Новокаховської міської ради"</f>
        <v>Відділ реєстрації Новокаховської міської ради</v>
      </c>
      <c r="G2274" s="1" t="str">
        <f t="shared" si="407"/>
        <v>1</v>
      </c>
      <c r="H2274" s="1" t="str">
        <f>"Результат"</f>
        <v>Результат</v>
      </c>
      <c r="I2274" s="1" t="str">
        <f>"Позитивний"</f>
        <v>Позитивний</v>
      </c>
      <c r="J2274" s="1" t="str">
        <f t="shared" si="408"/>
        <v>Так</v>
      </c>
    </row>
    <row r="2275" spans="1:10" ht="90" x14ac:dyDescent="0.25">
      <c r="A2275" s="1" t="str">
        <f>"2321-2020/27"</f>
        <v>2321-2020/27</v>
      </c>
      <c r="B2275" s="1" t="str">
        <f t="shared" si="406"/>
        <v>13.05.2020</v>
      </c>
      <c r="C2275" s="1" t="str">
        <f t="shared" si="402"/>
        <v>Закрито</v>
      </c>
      <c r="D227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75" s="1" t="str">
        <f>"Інші послуги"</f>
        <v>Інші послуги</v>
      </c>
      <c r="F227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75" s="1" t="str">
        <f>"5"</f>
        <v>5</v>
      </c>
      <c r="H2275" s="1" t="str">
        <f>"Результат"</f>
        <v>Результат</v>
      </c>
      <c r="I2275" s="1" t="str">
        <f>"Позитивний"</f>
        <v>Позитивний</v>
      </c>
      <c r="J2275" s="1" t="str">
        <f>"Ні"</f>
        <v>Ні</v>
      </c>
    </row>
    <row r="2276" spans="1:10" ht="195" x14ac:dyDescent="0.25">
      <c r="A2276" s="1" t="str">
        <f>"2313-2020/27"</f>
        <v>2313-2020/27</v>
      </c>
      <c r="B2276" s="1" t="str">
        <f t="shared" si="406"/>
        <v>13.05.2020</v>
      </c>
      <c r="C2276" s="1" t="str">
        <f t="shared" si="402"/>
        <v>Закрито</v>
      </c>
      <c r="D2276" s="1" t="s">
        <v>13</v>
      </c>
      <c r="E2276" s="1" t="str">
        <f>"Державна реєстрація громадських об’єднань"</f>
        <v>Державна реєстрація громадських об’єднань</v>
      </c>
      <c r="F2276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2276" s="1" t="str">
        <f>"15"</f>
        <v>15</v>
      </c>
      <c r="H2276" s="1" t="str">
        <f>"Результат"</f>
        <v>Результат</v>
      </c>
      <c r="I2276" s="1" t="str">
        <f>"Позитивний"</f>
        <v>Позитивний</v>
      </c>
      <c r="J2276" s="1" t="str">
        <f>"Ні"</f>
        <v>Ні</v>
      </c>
    </row>
    <row r="2277" spans="1:10" ht="90" x14ac:dyDescent="0.25">
      <c r="A2277" s="1" t="str">
        <f>"2323-2020/27"</f>
        <v>2323-2020/27</v>
      </c>
      <c r="B2277" s="1" t="str">
        <f t="shared" si="406"/>
        <v>13.05.2020</v>
      </c>
      <c r="C2277" s="1" t="str">
        <f t="shared" si="402"/>
        <v>Закрито</v>
      </c>
      <c r="D227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77" s="1" t="str">
        <f>"Інші послуги"</f>
        <v>Інші послуги</v>
      </c>
      <c r="F227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77" s="1" t="str">
        <f>"5"</f>
        <v>5</v>
      </c>
      <c r="H2277" s="1" t="str">
        <f>"Результат"</f>
        <v>Результат</v>
      </c>
      <c r="I2277" s="1" t="str">
        <f>"Позитивний"</f>
        <v>Позитивний</v>
      </c>
      <c r="J2277" s="1" t="str">
        <f>"Ні"</f>
        <v>Ні</v>
      </c>
    </row>
    <row r="2278" spans="1:10" ht="120" x14ac:dyDescent="0.25">
      <c r="A2278" s="1" t="str">
        <f>"2325-2020/27"</f>
        <v>2325-2020/27</v>
      </c>
      <c r="B2278" s="1" t="str">
        <f t="shared" si="406"/>
        <v>13.05.2020</v>
      </c>
      <c r="C2278" s="1" t="str">
        <f t="shared" si="402"/>
        <v>Закрито</v>
      </c>
      <c r="D2278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278" s="1" t="str">
        <f>"Будівництво"</f>
        <v>Будівництво</v>
      </c>
      <c r="F227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278" s="1" t="str">
        <f>"10"</f>
        <v>10</v>
      </c>
      <c r="H2278" s="1" t="str">
        <f>"Результат"</f>
        <v>Результат</v>
      </c>
      <c r="I2278" s="1" t="str">
        <f>"Позитивний"</f>
        <v>Позитивний</v>
      </c>
      <c r="J2278" s="1" t="str">
        <f>"Ні"</f>
        <v>Ні</v>
      </c>
    </row>
    <row r="2279" spans="1:10" ht="45" x14ac:dyDescent="0.25">
      <c r="A2279" s="1" t="str">
        <f>"2312-2020/27"</f>
        <v>2312-2020/27</v>
      </c>
      <c r="B2279" s="1" t="str">
        <f t="shared" si="406"/>
        <v>13.05.2020</v>
      </c>
      <c r="C2279" s="1" t="str">
        <f t="shared" si="402"/>
        <v>Закрито</v>
      </c>
      <c r="D2279" s="1" t="str">
        <f>"Реєстрація місця проживання особи"</f>
        <v>Реєстрація місця проживання особи</v>
      </c>
      <c r="E2279" s="1" t="str">
        <f>"Реєстрація місця проживання"</f>
        <v>Реєстрація місця проживання</v>
      </c>
      <c r="F2279" s="1" t="str">
        <f>"Відділ реєстрації Новокаховської міської ради"</f>
        <v>Відділ реєстрації Новокаховської міської ради</v>
      </c>
      <c r="G2279" s="1" t="str">
        <f>"1"</f>
        <v>1</v>
      </c>
      <c r="H2279" s="1" t="str">
        <f>"Результат"</f>
        <v>Результат</v>
      </c>
      <c r="I2279" s="1" t="str">
        <f>"Позитивний"</f>
        <v>Позитивний</v>
      </c>
      <c r="J2279" s="1" t="str">
        <f>"Так"</f>
        <v>Так</v>
      </c>
    </row>
    <row r="2280" spans="1:10" ht="135" x14ac:dyDescent="0.25">
      <c r="A2280" s="1" t="str">
        <f>"2317-2020/27"</f>
        <v>2317-2020/27</v>
      </c>
      <c r="B2280" s="1" t="str">
        <f t="shared" si="406"/>
        <v>13.05.2020</v>
      </c>
      <c r="C2280" s="1" t="str">
        <f t="shared" si="402"/>
        <v>Закрито</v>
      </c>
      <c r="D228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80" s="1" t="str">
        <f>"Земельні питання"</f>
        <v>Земельні питання</v>
      </c>
      <c r="F22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80" s="1" t="str">
        <f>"1"</f>
        <v>1</v>
      </c>
      <c r="H2280" s="1" t="str">
        <f>"Результат"</f>
        <v>Результат</v>
      </c>
      <c r="I2280" s="1" t="str">
        <f>"Позитивний"</f>
        <v>Позитивний</v>
      </c>
      <c r="J2280" s="1" t="str">
        <f>"Так"</f>
        <v>Так</v>
      </c>
    </row>
    <row r="2281" spans="1:10" ht="90" x14ac:dyDescent="0.25">
      <c r="A2281" s="1" t="str">
        <f>"2319-2020/27"</f>
        <v>2319-2020/27</v>
      </c>
      <c r="B2281" s="1" t="str">
        <f t="shared" si="406"/>
        <v>13.05.2020</v>
      </c>
      <c r="C2281" s="1" t="str">
        <f t="shared" si="402"/>
        <v>Закрито</v>
      </c>
      <c r="D228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81" s="1" t="str">
        <f>"Інші послуги"</f>
        <v>Інші послуги</v>
      </c>
      <c r="F228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81" s="1" t="str">
        <f>"5"</f>
        <v>5</v>
      </c>
      <c r="H2281" s="1" t="str">
        <f>"Результат"</f>
        <v>Результат</v>
      </c>
      <c r="I2281" s="1" t="str">
        <f>"Позитивний"</f>
        <v>Позитивний</v>
      </c>
      <c r="J2281" s="1" t="str">
        <f>"Ні"</f>
        <v>Ні</v>
      </c>
    </row>
    <row r="2282" spans="1:10" ht="90" x14ac:dyDescent="0.25">
      <c r="A2282" s="1" t="str">
        <f>"2320-2020/27"</f>
        <v>2320-2020/27</v>
      </c>
      <c r="B2282" s="1" t="str">
        <f t="shared" si="406"/>
        <v>13.05.2020</v>
      </c>
      <c r="C2282" s="1" t="str">
        <f t="shared" si="402"/>
        <v>Закрито</v>
      </c>
      <c r="D228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282" s="1" t="str">
        <f>"Інші послуги"</f>
        <v>Інші послуги</v>
      </c>
      <c r="F228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282" s="1" t="str">
        <f>"5"</f>
        <v>5</v>
      </c>
      <c r="H2282" s="1" t="str">
        <f>"Результат"</f>
        <v>Результат</v>
      </c>
      <c r="I2282" s="1" t="str">
        <f>"Позитивний"</f>
        <v>Позитивний</v>
      </c>
      <c r="J2282" s="1" t="str">
        <f>"Ні"</f>
        <v>Ні</v>
      </c>
    </row>
    <row r="2283" spans="1:10" ht="135" x14ac:dyDescent="0.25">
      <c r="A2283" s="1" t="str">
        <f>"2311-2020/27"</f>
        <v>2311-2020/27</v>
      </c>
      <c r="B2283" s="1" t="str">
        <f t="shared" si="406"/>
        <v>13.05.2020</v>
      </c>
      <c r="C2283" s="1" t="str">
        <f t="shared" si="402"/>
        <v>Закрито</v>
      </c>
      <c r="D22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83" s="1" t="str">
        <f>"Земельні питання"</f>
        <v>Земельні питання</v>
      </c>
      <c r="F22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83" s="1" t="str">
        <f t="shared" ref="G2283:G2288" si="409">"1"</f>
        <v>1</v>
      </c>
      <c r="H2283" s="1" t="str">
        <f>"Результат"</f>
        <v>Результат</v>
      </c>
      <c r="I2283" s="1" t="str">
        <f>"Позитивний"</f>
        <v>Позитивний</v>
      </c>
      <c r="J2283" s="1" t="str">
        <f t="shared" ref="J2283:J2288" si="410">"Так"</f>
        <v>Так</v>
      </c>
    </row>
    <row r="2284" spans="1:10" ht="45" x14ac:dyDescent="0.25">
      <c r="A2284" s="1" t="str">
        <f>"2324-2020/27"</f>
        <v>2324-2020/27</v>
      </c>
      <c r="B2284" s="1" t="str">
        <f t="shared" si="406"/>
        <v>13.05.2020</v>
      </c>
      <c r="C2284" s="1" t="str">
        <f t="shared" si="402"/>
        <v>Закрито</v>
      </c>
      <c r="D2284" s="1" t="str">
        <f>"Зняття з реєстрації місця проживання"</f>
        <v>Зняття з реєстрації місця проживання</v>
      </c>
      <c r="E2284" s="1" t="str">
        <f>"Реєстрація місця проживання"</f>
        <v>Реєстрація місця проживання</v>
      </c>
      <c r="F2284" s="1" t="str">
        <f>"Відділ реєстрації Новокаховської міської ради"</f>
        <v>Відділ реєстрації Новокаховської міської ради</v>
      </c>
      <c r="G2284" s="1" t="str">
        <f t="shared" si="409"/>
        <v>1</v>
      </c>
      <c r="H2284" s="1" t="str">
        <f>"Результат"</f>
        <v>Результат</v>
      </c>
      <c r="I2284" s="1" t="str">
        <f>"Позитивний"</f>
        <v>Позитивний</v>
      </c>
      <c r="J2284" s="1" t="str">
        <f t="shared" si="410"/>
        <v>Так</v>
      </c>
    </row>
    <row r="2285" spans="1:10" ht="135" x14ac:dyDescent="0.25">
      <c r="A2285" s="1" t="str">
        <f>"2362-2020/27"</f>
        <v>2362-2020/27</v>
      </c>
      <c r="B2285" s="1" t="str">
        <f t="shared" ref="B2285:B2326" si="411">"14.05.2020"</f>
        <v>14.05.2020</v>
      </c>
      <c r="C2285" s="1" t="str">
        <f t="shared" si="402"/>
        <v>Закрито</v>
      </c>
      <c r="D228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85" s="1" t="str">
        <f>"Земельні питання"</f>
        <v>Земельні питання</v>
      </c>
      <c r="F22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85" s="1" t="str">
        <f t="shared" si="409"/>
        <v>1</v>
      </c>
      <c r="H2285" s="1" t="str">
        <f>"Результат"</f>
        <v>Результат</v>
      </c>
      <c r="I2285" s="1" t="str">
        <f>"Позитивний"</f>
        <v>Позитивний</v>
      </c>
      <c r="J2285" s="1" t="str">
        <f t="shared" si="410"/>
        <v>Так</v>
      </c>
    </row>
    <row r="2286" spans="1:10" ht="45" x14ac:dyDescent="0.25">
      <c r="A2286" s="1" t="str">
        <f>"2341-2020/27"</f>
        <v>2341-2020/27</v>
      </c>
      <c r="B2286" s="1" t="str">
        <f t="shared" si="411"/>
        <v>14.05.2020</v>
      </c>
      <c r="C2286" s="1" t="str">
        <f t="shared" si="402"/>
        <v>Закрито</v>
      </c>
      <c r="D2286" s="1" t="str">
        <f>"Реєстрація місця проживання особи"</f>
        <v>Реєстрація місця проживання особи</v>
      </c>
      <c r="E2286" s="1" t="str">
        <f>"Реєстрація місця проживання"</f>
        <v>Реєстрація місця проживання</v>
      </c>
      <c r="F2286" s="1" t="str">
        <f>"Відділ реєстрації Новокаховської міської ради"</f>
        <v>Відділ реєстрації Новокаховської міської ради</v>
      </c>
      <c r="G2286" s="1" t="str">
        <f t="shared" si="409"/>
        <v>1</v>
      </c>
      <c r="H2286" s="1" t="str">
        <f>"Результат"</f>
        <v>Результат</v>
      </c>
      <c r="I2286" s="1" t="str">
        <f>"Позитивний"</f>
        <v>Позитивний</v>
      </c>
      <c r="J2286" s="1" t="str">
        <f t="shared" si="410"/>
        <v>Так</v>
      </c>
    </row>
    <row r="2287" spans="1:10" ht="135" x14ac:dyDescent="0.25">
      <c r="A2287" s="1" t="str">
        <f>"2336-2020/27"</f>
        <v>2336-2020/27</v>
      </c>
      <c r="B2287" s="1" t="str">
        <f t="shared" si="411"/>
        <v>14.05.2020</v>
      </c>
      <c r="C2287" s="1" t="str">
        <f t="shared" si="402"/>
        <v>Закрито</v>
      </c>
      <c r="D22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87" s="1" t="str">
        <f>"Земельні питання"</f>
        <v>Земельні питання</v>
      </c>
      <c r="F22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87" s="1" t="str">
        <f t="shared" si="409"/>
        <v>1</v>
      </c>
      <c r="H2287" s="1" t="str">
        <f>"Результат"</f>
        <v>Результат</v>
      </c>
      <c r="I2287" s="1" t="str">
        <f>"Позитивний"</f>
        <v>Позитивний</v>
      </c>
      <c r="J2287" s="1" t="str">
        <f t="shared" si="410"/>
        <v>Так</v>
      </c>
    </row>
    <row r="2288" spans="1:10" ht="135" x14ac:dyDescent="0.25">
      <c r="A2288" s="1" t="str">
        <f>"2360-2020/27"</f>
        <v>2360-2020/27</v>
      </c>
      <c r="B2288" s="1" t="str">
        <f t="shared" si="411"/>
        <v>14.05.2020</v>
      </c>
      <c r="C2288" s="1" t="str">
        <f t="shared" si="402"/>
        <v>Закрито</v>
      </c>
      <c r="D228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88" s="1" t="str">
        <f>"Земельні питання"</f>
        <v>Земельні питання</v>
      </c>
      <c r="F22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88" s="1" t="str">
        <f t="shared" si="409"/>
        <v>1</v>
      </c>
      <c r="H2288" s="1" t="str">
        <f>"Результат"</f>
        <v>Результат</v>
      </c>
      <c r="I2288" s="1" t="str">
        <f>"Позитивний"</f>
        <v>Позитивний</v>
      </c>
      <c r="J2288" s="1" t="str">
        <f t="shared" si="410"/>
        <v>Так</v>
      </c>
    </row>
    <row r="2289" spans="1:10" ht="225" x14ac:dyDescent="0.25">
      <c r="A2289" s="1" t="str">
        <f>"2364-2020/27"</f>
        <v>2364-2020/27</v>
      </c>
      <c r="B2289" s="1" t="str">
        <f t="shared" si="411"/>
        <v>14.05.2020</v>
      </c>
      <c r="C2289" s="1" t="str">
        <f t="shared" si="402"/>
        <v>Закрито</v>
      </c>
      <c r="D2289" s="1" t="s">
        <v>1</v>
      </c>
      <c r="E2289" s="1" t="str">
        <f>"Будівництво"</f>
        <v>Будівництво</v>
      </c>
      <c r="F228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289" s="1" t="str">
        <f>"30"</f>
        <v>30</v>
      </c>
      <c r="H2289" s="1" t="str">
        <f>"Результат"</f>
        <v>Результат</v>
      </c>
      <c r="I2289" s="1" t="str">
        <f>"Позитивний"</f>
        <v>Позитивний</v>
      </c>
      <c r="J2289" s="1" t="str">
        <f>"Ні"</f>
        <v>Ні</v>
      </c>
    </row>
    <row r="2290" spans="1:10" ht="45" x14ac:dyDescent="0.25">
      <c r="A2290" s="1" t="str">
        <f>"2346-2020/27"</f>
        <v>2346-2020/27</v>
      </c>
      <c r="B2290" s="1" t="str">
        <f t="shared" si="411"/>
        <v>14.05.2020</v>
      </c>
      <c r="C2290" s="1" t="str">
        <f t="shared" si="402"/>
        <v>Закрито</v>
      </c>
      <c r="D2290" s="1" t="str">
        <f>"Зняття з реєстрації місця проживання"</f>
        <v>Зняття з реєстрації місця проживання</v>
      </c>
      <c r="E2290" s="1" t="str">
        <f>"Реєстрація місця проживання"</f>
        <v>Реєстрація місця проживання</v>
      </c>
      <c r="F2290" s="1" t="str">
        <f>"Відділ реєстрації Новокаховської міської ради"</f>
        <v>Відділ реєстрації Новокаховської міської ради</v>
      </c>
      <c r="G2290" s="1" t="str">
        <f t="shared" ref="G2290:G2297" si="412">"1"</f>
        <v>1</v>
      </c>
      <c r="H2290" s="1" t="str">
        <f>"Результат"</f>
        <v>Результат</v>
      </c>
      <c r="I2290" s="1" t="str">
        <f>"Позитивний"</f>
        <v>Позитивний</v>
      </c>
      <c r="J2290" s="1" t="str">
        <f t="shared" ref="J2290:J2297" si="413">"Так"</f>
        <v>Так</v>
      </c>
    </row>
    <row r="2291" spans="1:10" ht="135" x14ac:dyDescent="0.25">
      <c r="A2291" s="1" t="str">
        <f>"2359-2020/27"</f>
        <v>2359-2020/27</v>
      </c>
      <c r="B2291" s="1" t="str">
        <f t="shared" si="411"/>
        <v>14.05.2020</v>
      </c>
      <c r="C2291" s="1" t="str">
        <f t="shared" si="402"/>
        <v>Закрито</v>
      </c>
      <c r="D22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91" s="1" t="str">
        <f>"Земельні питання"</f>
        <v>Земельні питання</v>
      </c>
      <c r="F22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91" s="1" t="str">
        <f t="shared" si="412"/>
        <v>1</v>
      </c>
      <c r="H2291" s="1" t="str">
        <f>"Результат"</f>
        <v>Результат</v>
      </c>
      <c r="I2291" s="1" t="str">
        <f>"Позитивний"</f>
        <v>Позитивний</v>
      </c>
      <c r="J2291" s="1" t="str">
        <f t="shared" si="413"/>
        <v>Так</v>
      </c>
    </row>
    <row r="2292" spans="1:10" ht="135" x14ac:dyDescent="0.25">
      <c r="A2292" s="1" t="str">
        <f>"2363-2020/27"</f>
        <v>2363-2020/27</v>
      </c>
      <c r="B2292" s="1" t="str">
        <f t="shared" si="411"/>
        <v>14.05.2020</v>
      </c>
      <c r="C2292" s="1" t="str">
        <f t="shared" si="402"/>
        <v>Закрито</v>
      </c>
      <c r="D22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92" s="1" t="str">
        <f>"Земельні питання"</f>
        <v>Земельні питання</v>
      </c>
      <c r="F22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92" s="1" t="str">
        <f t="shared" si="412"/>
        <v>1</v>
      </c>
      <c r="H2292" s="1" t="str">
        <f>"Результат"</f>
        <v>Результат</v>
      </c>
      <c r="I2292" s="1" t="str">
        <f>"Позитивний"</f>
        <v>Позитивний</v>
      </c>
      <c r="J2292" s="1" t="str">
        <f t="shared" si="413"/>
        <v>Так</v>
      </c>
    </row>
    <row r="2293" spans="1:10" ht="135" x14ac:dyDescent="0.25">
      <c r="A2293" s="1" t="str">
        <f>"2357-2020/27"</f>
        <v>2357-2020/27</v>
      </c>
      <c r="B2293" s="1" t="str">
        <f t="shared" si="411"/>
        <v>14.05.2020</v>
      </c>
      <c r="C2293" s="1" t="str">
        <f t="shared" si="402"/>
        <v>Закрито</v>
      </c>
      <c r="D229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93" s="1" t="str">
        <f>"Земельні питання"</f>
        <v>Земельні питання</v>
      </c>
      <c r="F22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93" s="1" t="str">
        <f t="shared" si="412"/>
        <v>1</v>
      </c>
      <c r="H2293" s="1" t="str">
        <f>"Результат"</f>
        <v>Результат</v>
      </c>
      <c r="I2293" s="1" t="str">
        <f>"Позитивний"</f>
        <v>Позитивний</v>
      </c>
      <c r="J2293" s="1" t="str">
        <f t="shared" si="413"/>
        <v>Так</v>
      </c>
    </row>
    <row r="2294" spans="1:10" ht="45" x14ac:dyDescent="0.25">
      <c r="A2294" s="1" t="str">
        <f>"2331-2020/27"</f>
        <v>2331-2020/27</v>
      </c>
      <c r="B2294" s="1" t="str">
        <f t="shared" si="411"/>
        <v>14.05.2020</v>
      </c>
      <c r="C2294" s="1" t="str">
        <f t="shared" si="402"/>
        <v>Закрито</v>
      </c>
      <c r="D2294" s="1" t="str">
        <f>"Зняття з реєстрації місця проживання"</f>
        <v>Зняття з реєстрації місця проживання</v>
      </c>
      <c r="E2294" s="1" t="str">
        <f>"Реєстрація місця проживання"</f>
        <v>Реєстрація місця проживання</v>
      </c>
      <c r="F2294" s="1" t="str">
        <f>"Відділ реєстрації Новокаховської міської ради"</f>
        <v>Відділ реєстрації Новокаховської міської ради</v>
      </c>
      <c r="G2294" s="1" t="str">
        <f t="shared" si="412"/>
        <v>1</v>
      </c>
      <c r="H2294" s="1" t="str">
        <f>"Результат"</f>
        <v>Результат</v>
      </c>
      <c r="I2294" s="1" t="str">
        <f>"Позитивний"</f>
        <v>Позитивний</v>
      </c>
      <c r="J2294" s="1" t="str">
        <f t="shared" si="413"/>
        <v>Так</v>
      </c>
    </row>
    <row r="2295" spans="1:10" ht="45" x14ac:dyDescent="0.25">
      <c r="A2295" s="1" t="str">
        <f>"2347-2020/27"</f>
        <v>2347-2020/27</v>
      </c>
      <c r="B2295" s="1" t="str">
        <f t="shared" si="411"/>
        <v>14.05.2020</v>
      </c>
      <c r="C2295" s="1" t="str">
        <f t="shared" si="402"/>
        <v>Закрито</v>
      </c>
      <c r="D2295" s="1" t="str">
        <f>"Реєстрація місця проживання особи"</f>
        <v>Реєстрація місця проживання особи</v>
      </c>
      <c r="E2295" s="1" t="str">
        <f>"Реєстрація місця проживання"</f>
        <v>Реєстрація місця проживання</v>
      </c>
      <c r="F2295" s="1" t="str">
        <f>"Відділ реєстрації Новокаховської міської ради"</f>
        <v>Відділ реєстрації Новокаховської міської ради</v>
      </c>
      <c r="G2295" s="1" t="str">
        <f t="shared" si="412"/>
        <v>1</v>
      </c>
      <c r="H2295" s="1" t="str">
        <f>"Результат"</f>
        <v>Результат</v>
      </c>
      <c r="I2295" s="1" t="str">
        <f>"Позитивний"</f>
        <v>Позитивний</v>
      </c>
      <c r="J2295" s="1" t="str">
        <f t="shared" si="413"/>
        <v>Так</v>
      </c>
    </row>
    <row r="2296" spans="1:10" ht="45" x14ac:dyDescent="0.25">
      <c r="A2296" s="1" t="str">
        <f>"2329-2020/27"</f>
        <v>2329-2020/27</v>
      </c>
      <c r="B2296" s="1" t="str">
        <f t="shared" si="411"/>
        <v>14.05.2020</v>
      </c>
      <c r="C2296" s="1" t="str">
        <f t="shared" si="402"/>
        <v>Закрито</v>
      </c>
      <c r="D2296" s="1" t="str">
        <f>"Зняття з реєстрації місця проживання"</f>
        <v>Зняття з реєстрації місця проживання</v>
      </c>
      <c r="E2296" s="1" t="str">
        <f>"Реєстрація місця проживання"</f>
        <v>Реєстрація місця проживання</v>
      </c>
      <c r="F2296" s="1" t="str">
        <f>"Відділ реєстрації Новокаховської міської ради"</f>
        <v>Відділ реєстрації Новокаховської міської ради</v>
      </c>
      <c r="G2296" s="1" t="str">
        <f t="shared" si="412"/>
        <v>1</v>
      </c>
      <c r="H2296" s="1" t="str">
        <f>"Результат"</f>
        <v>Результат</v>
      </c>
      <c r="I2296" s="1" t="str">
        <f>"Позитивний"</f>
        <v>Позитивний</v>
      </c>
      <c r="J2296" s="1" t="str">
        <f t="shared" si="413"/>
        <v>Так</v>
      </c>
    </row>
    <row r="2297" spans="1:10" ht="135" x14ac:dyDescent="0.25">
      <c r="A2297" s="1" t="str">
        <f>"2361-2020/27"</f>
        <v>2361-2020/27</v>
      </c>
      <c r="B2297" s="1" t="str">
        <f t="shared" si="411"/>
        <v>14.05.2020</v>
      </c>
      <c r="C2297" s="1" t="str">
        <f t="shared" si="402"/>
        <v>Закрито</v>
      </c>
      <c r="D229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97" s="1" t="str">
        <f t="shared" ref="E2297:E2304" si="414">"Земельні питання"</f>
        <v>Земельні питання</v>
      </c>
      <c r="F2297" s="1" t="str">
        <f t="shared" ref="F2297:F2304" si="415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97" s="1" t="str">
        <f t="shared" si="412"/>
        <v>1</v>
      </c>
      <c r="H2297" s="1" t="str">
        <f>"Результат"</f>
        <v>Результат</v>
      </c>
      <c r="I2297" s="1" t="str">
        <f>"Позитивний"</f>
        <v>Позитивний</v>
      </c>
      <c r="J2297" s="1" t="str">
        <f t="shared" si="413"/>
        <v>Так</v>
      </c>
    </row>
    <row r="2298" spans="1:10" ht="135" x14ac:dyDescent="0.25">
      <c r="A2298" s="1" t="str">
        <f>"2366-2020/27"</f>
        <v>2366-2020/27</v>
      </c>
      <c r="B2298" s="1" t="str">
        <f t="shared" si="411"/>
        <v>14.05.2020</v>
      </c>
      <c r="C2298" s="1" t="str">
        <f t="shared" si="402"/>
        <v>Закрито</v>
      </c>
      <c r="D229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298" s="1" t="str">
        <f t="shared" si="414"/>
        <v>Земельні питання</v>
      </c>
      <c r="F2298" s="1" t="str">
        <f t="shared" si="41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98" s="1" t="str">
        <f>"14"</f>
        <v>14</v>
      </c>
      <c r="H2298" s="1" t="str">
        <f>"Результат"</f>
        <v>Результат</v>
      </c>
      <c r="I2298" s="1" t="str">
        <f>"Позитивний"</f>
        <v>Позитивний</v>
      </c>
      <c r="J2298" s="1" t="str">
        <f>"Ні"</f>
        <v>Ні</v>
      </c>
    </row>
    <row r="2299" spans="1:10" ht="135" x14ac:dyDescent="0.25">
      <c r="A2299" s="1" t="str">
        <f>"2328-2020/27"</f>
        <v>2328-2020/27</v>
      </c>
      <c r="B2299" s="1" t="str">
        <f t="shared" si="411"/>
        <v>14.05.2020</v>
      </c>
      <c r="C2299" s="1" t="str">
        <f t="shared" si="402"/>
        <v>Закрито</v>
      </c>
      <c r="D229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299" s="1" t="str">
        <f t="shared" si="414"/>
        <v>Земельні питання</v>
      </c>
      <c r="F2299" s="1" t="str">
        <f t="shared" si="41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299" s="1" t="str">
        <f>"1"</f>
        <v>1</v>
      </c>
      <c r="H2299" s="1" t="str">
        <f>"Результат"</f>
        <v>Результат</v>
      </c>
      <c r="I2299" s="1" t="str">
        <f>"Позитивний"</f>
        <v>Позитивний</v>
      </c>
      <c r="J2299" s="1" t="str">
        <f>"Так"</f>
        <v>Так</v>
      </c>
    </row>
    <row r="2300" spans="1:10" ht="135" x14ac:dyDescent="0.25">
      <c r="A2300" s="1" t="str">
        <f>"2367-2020/27"</f>
        <v>2367-2020/27</v>
      </c>
      <c r="B2300" s="1" t="str">
        <f t="shared" si="411"/>
        <v>14.05.2020</v>
      </c>
      <c r="C2300" s="1" t="str">
        <f t="shared" si="402"/>
        <v>Закрито</v>
      </c>
      <c r="D230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00" s="1" t="str">
        <f t="shared" si="414"/>
        <v>Земельні питання</v>
      </c>
      <c r="F2300" s="1" t="str">
        <f t="shared" si="41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00" s="1" t="str">
        <f>"14"</f>
        <v>14</v>
      </c>
      <c r="H2300" s="1" t="str">
        <f>"Результат"</f>
        <v>Результат</v>
      </c>
      <c r="I2300" s="1" t="str">
        <f>"Позитивний"</f>
        <v>Позитивний</v>
      </c>
      <c r="J2300" s="1" t="str">
        <f>"Ні"</f>
        <v>Ні</v>
      </c>
    </row>
    <row r="2301" spans="1:10" ht="135" x14ac:dyDescent="0.25">
      <c r="A2301" s="1" t="str">
        <f>"2349-2020/27"</f>
        <v>2349-2020/27</v>
      </c>
      <c r="B2301" s="1" t="str">
        <f t="shared" si="411"/>
        <v>14.05.2020</v>
      </c>
      <c r="C2301" s="1" t="str">
        <f t="shared" si="402"/>
        <v>Закрито</v>
      </c>
      <c r="D230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01" s="1" t="str">
        <f t="shared" si="414"/>
        <v>Земельні питання</v>
      </c>
      <c r="F2301" s="1" t="str">
        <f t="shared" si="41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01" s="1" t="str">
        <f t="shared" ref="G2301:G2306" si="416">"1"</f>
        <v>1</v>
      </c>
      <c r="H2301" s="1" t="str">
        <f>"Результат"</f>
        <v>Результат</v>
      </c>
      <c r="I2301" s="1" t="str">
        <f>"Позитивний"</f>
        <v>Позитивний</v>
      </c>
      <c r="J2301" s="1" t="str">
        <f t="shared" ref="J2301:J2306" si="417">"Так"</f>
        <v>Так</v>
      </c>
    </row>
    <row r="2302" spans="1:10" ht="135" x14ac:dyDescent="0.25">
      <c r="A2302" s="1" t="str">
        <f>"2358-2020/27"</f>
        <v>2358-2020/27</v>
      </c>
      <c r="B2302" s="1" t="str">
        <f t="shared" si="411"/>
        <v>14.05.2020</v>
      </c>
      <c r="C2302" s="1" t="str">
        <f t="shared" si="402"/>
        <v>Закрито</v>
      </c>
      <c r="D230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02" s="1" t="str">
        <f t="shared" si="414"/>
        <v>Земельні питання</v>
      </c>
      <c r="F2302" s="1" t="str">
        <f t="shared" si="41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02" s="1" t="str">
        <f t="shared" si="416"/>
        <v>1</v>
      </c>
      <c r="H2302" s="1" t="str">
        <f>"Результат"</f>
        <v>Результат</v>
      </c>
      <c r="I2302" s="1" t="str">
        <f>"Позитивний"</f>
        <v>Позитивний</v>
      </c>
      <c r="J2302" s="1" t="str">
        <f t="shared" si="417"/>
        <v>Так</v>
      </c>
    </row>
    <row r="2303" spans="1:10" ht="135" x14ac:dyDescent="0.25">
      <c r="A2303" s="1" t="str">
        <f>"2332-2020/27"</f>
        <v>2332-2020/27</v>
      </c>
      <c r="B2303" s="1" t="str">
        <f t="shared" si="411"/>
        <v>14.05.2020</v>
      </c>
      <c r="C2303" s="1" t="str">
        <f t="shared" si="402"/>
        <v>Закрито</v>
      </c>
      <c r="D230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03" s="1" t="str">
        <f t="shared" si="414"/>
        <v>Земельні питання</v>
      </c>
      <c r="F2303" s="1" t="str">
        <f t="shared" si="41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03" s="1" t="str">
        <f t="shared" si="416"/>
        <v>1</v>
      </c>
      <c r="H2303" s="1" t="str">
        <f>"Результат"</f>
        <v>Результат</v>
      </c>
      <c r="I2303" s="1" t="str">
        <f>"Позитивний"</f>
        <v>Позитивний</v>
      </c>
      <c r="J2303" s="1" t="str">
        <f t="shared" si="417"/>
        <v>Так</v>
      </c>
    </row>
    <row r="2304" spans="1:10" ht="135" x14ac:dyDescent="0.25">
      <c r="A2304" s="1" t="str">
        <f>"2335-2020/27"</f>
        <v>2335-2020/27</v>
      </c>
      <c r="B2304" s="1" t="str">
        <f t="shared" si="411"/>
        <v>14.05.2020</v>
      </c>
      <c r="C2304" s="1" t="str">
        <f t="shared" si="402"/>
        <v>Закрито</v>
      </c>
      <c r="D230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04" s="1" t="str">
        <f t="shared" si="414"/>
        <v>Земельні питання</v>
      </c>
      <c r="F2304" s="1" t="str">
        <f t="shared" si="41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04" s="1" t="str">
        <f t="shared" si="416"/>
        <v>1</v>
      </c>
      <c r="H2304" s="1" t="str">
        <f>"Результат"</f>
        <v>Результат</v>
      </c>
      <c r="I2304" s="1" t="str">
        <f>"Позитивний"</f>
        <v>Позитивний</v>
      </c>
      <c r="J2304" s="1" t="str">
        <f t="shared" si="417"/>
        <v>Так</v>
      </c>
    </row>
    <row r="2305" spans="1:10" ht="45" x14ac:dyDescent="0.25">
      <c r="A2305" s="1" t="str">
        <f>"2350-2020/27"</f>
        <v>2350-2020/27</v>
      </c>
      <c r="B2305" s="1" t="str">
        <f t="shared" si="411"/>
        <v>14.05.2020</v>
      </c>
      <c r="C2305" s="1" t="str">
        <f t="shared" si="402"/>
        <v>Закрито</v>
      </c>
      <c r="D2305" s="1" t="str">
        <f>"Зняття з реєстрації місця проживання"</f>
        <v>Зняття з реєстрації місця проживання</v>
      </c>
      <c r="E2305" s="1" t="str">
        <f>"Реєстрація місця проживання"</f>
        <v>Реєстрація місця проживання</v>
      </c>
      <c r="F2305" s="1" t="str">
        <f>"Відділ реєстрації Новокаховської міської ради"</f>
        <v>Відділ реєстрації Новокаховської міської ради</v>
      </c>
      <c r="G2305" s="1" t="str">
        <f t="shared" si="416"/>
        <v>1</v>
      </c>
      <c r="H2305" s="1" t="str">
        <f>"Результат"</f>
        <v>Результат</v>
      </c>
      <c r="I2305" s="1" t="str">
        <f>"Позитивний"</f>
        <v>Позитивний</v>
      </c>
      <c r="J2305" s="1" t="str">
        <f t="shared" si="417"/>
        <v>Так</v>
      </c>
    </row>
    <row r="2306" spans="1:10" ht="45" x14ac:dyDescent="0.25">
      <c r="A2306" s="1" t="str">
        <f>"2342-2020/27"</f>
        <v>2342-2020/27</v>
      </c>
      <c r="B2306" s="1" t="str">
        <f t="shared" si="411"/>
        <v>14.05.2020</v>
      </c>
      <c r="C2306" s="1" t="str">
        <f t="shared" si="402"/>
        <v>Закрито</v>
      </c>
      <c r="D2306" s="1" t="str">
        <f>"Реєстрація місця проживання особи"</f>
        <v>Реєстрація місця проживання особи</v>
      </c>
      <c r="E2306" s="1" t="str">
        <f>"Реєстрація місця проживання"</f>
        <v>Реєстрація місця проживання</v>
      </c>
      <c r="F2306" s="1" t="str">
        <f>"Відділ реєстрації Новокаховської міської ради"</f>
        <v>Відділ реєстрації Новокаховської міської ради</v>
      </c>
      <c r="G2306" s="1" t="str">
        <f t="shared" si="416"/>
        <v>1</v>
      </c>
      <c r="H2306" s="1" t="str">
        <f>"Результат"</f>
        <v>Результат</v>
      </c>
      <c r="I2306" s="1" t="str">
        <f>"Позитивний"</f>
        <v>Позитивний</v>
      </c>
      <c r="J2306" s="1" t="str">
        <f t="shared" si="417"/>
        <v>Так</v>
      </c>
    </row>
    <row r="2307" spans="1:10" ht="90" x14ac:dyDescent="0.25">
      <c r="A2307" s="1" t="str">
        <f>"2326-2020/27"</f>
        <v>2326-2020/27</v>
      </c>
      <c r="B2307" s="1" t="str">
        <f t="shared" si="411"/>
        <v>14.05.2020</v>
      </c>
      <c r="C2307" s="1" t="str">
        <f t="shared" ref="C2307:C2370" si="418">"Закрито"</f>
        <v>Закрито</v>
      </c>
      <c r="D230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07" s="1" t="str">
        <f>"Інші послуги"</f>
        <v>Інші послуги</v>
      </c>
      <c r="F230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07" s="1" t="str">
        <f>"5"</f>
        <v>5</v>
      </c>
      <c r="H2307" s="1" t="str">
        <f>"Результат"</f>
        <v>Результат</v>
      </c>
      <c r="I2307" s="1" t="str">
        <f>"Позитивний"</f>
        <v>Позитивний</v>
      </c>
      <c r="J2307" s="1" t="str">
        <f>"Ні"</f>
        <v>Ні</v>
      </c>
    </row>
    <row r="2308" spans="1:10" ht="90" x14ac:dyDescent="0.25">
      <c r="A2308" s="1" t="str">
        <f>"2327-2020/27"</f>
        <v>2327-2020/27</v>
      </c>
      <c r="B2308" s="1" t="str">
        <f t="shared" si="411"/>
        <v>14.05.2020</v>
      </c>
      <c r="C2308" s="1" t="str">
        <f t="shared" si="418"/>
        <v>Закрито</v>
      </c>
      <c r="D230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08" s="1" t="str">
        <f>"Інші послуги"</f>
        <v>Інші послуги</v>
      </c>
      <c r="F230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08" s="1" t="str">
        <f>"5"</f>
        <v>5</v>
      </c>
      <c r="H2308" s="1" t="str">
        <f>"Результат"</f>
        <v>Результат</v>
      </c>
      <c r="I2308" s="1" t="str">
        <f>"Позитивний"</f>
        <v>Позитивний</v>
      </c>
      <c r="J2308" s="1" t="str">
        <f>"Ні"</f>
        <v>Ні</v>
      </c>
    </row>
    <row r="2309" spans="1:10" ht="45" x14ac:dyDescent="0.25">
      <c r="A2309" s="1" t="str">
        <f>"2339-2020/27"</f>
        <v>2339-2020/27</v>
      </c>
      <c r="B2309" s="1" t="str">
        <f t="shared" si="411"/>
        <v>14.05.2020</v>
      </c>
      <c r="C2309" s="1" t="str">
        <f t="shared" si="418"/>
        <v>Закрито</v>
      </c>
      <c r="D2309" s="1" t="str">
        <f>"Реєстрація місця проживання особи"</f>
        <v>Реєстрація місця проживання особи</v>
      </c>
      <c r="E2309" s="1" t="str">
        <f>"Реєстрація місця проживання"</f>
        <v>Реєстрація місця проживання</v>
      </c>
      <c r="F2309" s="1" t="str">
        <f>"Відділ реєстрації Новокаховської міської ради"</f>
        <v>Відділ реєстрації Новокаховської міської ради</v>
      </c>
      <c r="G2309" s="1" t="str">
        <f>"1"</f>
        <v>1</v>
      </c>
      <c r="H2309" s="1" t="str">
        <f>"Результат"</f>
        <v>Результат</v>
      </c>
      <c r="I2309" s="1" t="str">
        <f>"Позитивний"</f>
        <v>Позитивний</v>
      </c>
      <c r="J2309" s="1" t="str">
        <f>"Так"</f>
        <v>Так</v>
      </c>
    </row>
    <row r="2310" spans="1:10" ht="135" x14ac:dyDescent="0.25">
      <c r="A2310" s="1" t="str">
        <f>"2351-2020/27"</f>
        <v>2351-2020/27</v>
      </c>
      <c r="B2310" s="1" t="str">
        <f t="shared" si="411"/>
        <v>14.05.2020</v>
      </c>
      <c r="C2310" s="1" t="str">
        <f t="shared" si="418"/>
        <v>Закрито</v>
      </c>
      <c r="D231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10" s="1" t="str">
        <f>"Земельні питання"</f>
        <v>Земельні питання</v>
      </c>
      <c r="F23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10" s="1" t="str">
        <f>"1"</f>
        <v>1</v>
      </c>
      <c r="H2310" s="1" t="str">
        <f>"Результат"</f>
        <v>Результат</v>
      </c>
      <c r="I2310" s="1" t="str">
        <f>"Позитивний"</f>
        <v>Позитивний</v>
      </c>
      <c r="J2310" s="1" t="str">
        <f>"Так"</f>
        <v>Так</v>
      </c>
    </row>
    <row r="2311" spans="1:10" ht="45" x14ac:dyDescent="0.25">
      <c r="A2311" s="1" t="str">
        <f>"2330-2020/27"</f>
        <v>2330-2020/27</v>
      </c>
      <c r="B2311" s="1" t="str">
        <f t="shared" si="411"/>
        <v>14.05.2020</v>
      </c>
      <c r="C2311" s="1" t="str">
        <f t="shared" si="418"/>
        <v>Закрито</v>
      </c>
      <c r="D2311" s="1" t="str">
        <f>"Зняття з реєстрації місця проживання"</f>
        <v>Зняття з реєстрації місця проживання</v>
      </c>
      <c r="E2311" s="1" t="str">
        <f>"Реєстрація місця проживання"</f>
        <v>Реєстрація місця проживання</v>
      </c>
      <c r="F2311" s="1" t="str">
        <f>"Відділ реєстрації Новокаховської міської ради"</f>
        <v>Відділ реєстрації Новокаховської міської ради</v>
      </c>
      <c r="G2311" s="1" t="str">
        <f>"1"</f>
        <v>1</v>
      </c>
      <c r="H2311" s="1" t="str">
        <f>"Результат"</f>
        <v>Результат</v>
      </c>
      <c r="I2311" s="1" t="str">
        <f>"Позитивний"</f>
        <v>Позитивний</v>
      </c>
      <c r="J2311" s="1" t="str">
        <f>"Так"</f>
        <v>Так</v>
      </c>
    </row>
    <row r="2312" spans="1:10" ht="135" x14ac:dyDescent="0.25">
      <c r="A2312" s="1" t="str">
        <f>"2354-2020/27"</f>
        <v>2354-2020/27</v>
      </c>
      <c r="B2312" s="1" t="str">
        <f t="shared" si="411"/>
        <v>14.05.2020</v>
      </c>
      <c r="C2312" s="1" t="str">
        <f t="shared" si="418"/>
        <v>Закрито</v>
      </c>
      <c r="D23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312" s="1" t="str">
        <f>"Земельні питання"</f>
        <v>Земельні питання</v>
      </c>
      <c r="F23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12" s="1" t="str">
        <f>"3"</f>
        <v>3</v>
      </c>
      <c r="H2312" s="1" t="str">
        <f>"Результат"</f>
        <v>Результат</v>
      </c>
      <c r="I2312" s="1" t="str">
        <f>"Позитивний"</f>
        <v>Позитивний</v>
      </c>
      <c r="J2312" s="1" t="str">
        <f>"Ні"</f>
        <v>Ні</v>
      </c>
    </row>
    <row r="2313" spans="1:10" ht="135" x14ac:dyDescent="0.25">
      <c r="A2313" s="1" t="str">
        <f>"2355-2020/27"</f>
        <v>2355-2020/27</v>
      </c>
      <c r="B2313" s="1" t="str">
        <f t="shared" si="411"/>
        <v>14.05.2020</v>
      </c>
      <c r="C2313" s="1" t="str">
        <f t="shared" si="418"/>
        <v>Закрито</v>
      </c>
      <c r="D231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13" s="1" t="str">
        <f>"Земельні питання"</f>
        <v>Земельні питання</v>
      </c>
      <c r="F23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13" s="1" t="str">
        <f>"1"</f>
        <v>1</v>
      </c>
      <c r="H2313" s="1" t="str">
        <f>"Результат"</f>
        <v>Результат</v>
      </c>
      <c r="I2313" s="1" t="str">
        <f>"Позитивний"</f>
        <v>Позитивний</v>
      </c>
      <c r="J2313" s="1" t="str">
        <f>"Так"</f>
        <v>Так</v>
      </c>
    </row>
    <row r="2314" spans="1:10" ht="135" x14ac:dyDescent="0.25">
      <c r="A2314" s="1" t="str">
        <f>"2348-2020/27"</f>
        <v>2348-2020/27</v>
      </c>
      <c r="B2314" s="1" t="str">
        <f t="shared" si="411"/>
        <v>14.05.2020</v>
      </c>
      <c r="C2314" s="1" t="str">
        <f t="shared" si="418"/>
        <v>Закрито</v>
      </c>
      <c r="D231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14" s="1" t="str">
        <f>"Земельні питання"</f>
        <v>Земельні питання</v>
      </c>
      <c r="F23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14" s="1" t="str">
        <f>"14"</f>
        <v>14</v>
      </c>
      <c r="H2314" s="1" t="str">
        <f>"Результат"</f>
        <v>Результат</v>
      </c>
      <c r="I2314" s="1" t="str">
        <f>"Позитивний"</f>
        <v>Позитивний</v>
      </c>
      <c r="J2314" s="1" t="str">
        <f>"Ні"</f>
        <v>Ні</v>
      </c>
    </row>
    <row r="2315" spans="1:10" ht="90" x14ac:dyDescent="0.25">
      <c r="A2315" s="1" t="str">
        <f>"2365-2020/27"</f>
        <v>2365-2020/27</v>
      </c>
      <c r="B2315" s="1" t="str">
        <f t="shared" si="411"/>
        <v>14.05.2020</v>
      </c>
      <c r="C2315" s="1" t="str">
        <f t="shared" si="418"/>
        <v>Закрито</v>
      </c>
      <c r="D231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15" s="1" t="str">
        <f>"Інші послуги"</f>
        <v>Інші послуги</v>
      </c>
      <c r="F231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15" s="1" t="str">
        <f>"5"</f>
        <v>5</v>
      </c>
      <c r="H2315" s="1" t="str">
        <f>"Результат"</f>
        <v>Результат</v>
      </c>
      <c r="I2315" s="1" t="str">
        <f>"Позитивний"</f>
        <v>Позитивний</v>
      </c>
      <c r="J2315" s="1" t="str">
        <f>"Ні"</f>
        <v>Ні</v>
      </c>
    </row>
    <row r="2316" spans="1:10" ht="135" x14ac:dyDescent="0.25">
      <c r="A2316" s="1" t="str">
        <f>"2337-2020/27"</f>
        <v>2337-2020/27</v>
      </c>
      <c r="B2316" s="1" t="str">
        <f t="shared" si="411"/>
        <v>14.05.2020</v>
      </c>
      <c r="C2316" s="1" t="str">
        <f t="shared" si="418"/>
        <v>Закрито</v>
      </c>
      <c r="D2316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316" s="1" t="str">
        <f>"Земельні питання"</f>
        <v>Земельні питання</v>
      </c>
      <c r="F23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16" s="1" t="str">
        <f>"14"</f>
        <v>14</v>
      </c>
      <c r="H2316" s="1" t="str">
        <f>"Результат"</f>
        <v>Результат</v>
      </c>
      <c r="I2316" s="1" t="str">
        <f>"Позитивний"</f>
        <v>Позитивний</v>
      </c>
      <c r="J2316" s="1" t="str">
        <f>"Ні"</f>
        <v>Ні</v>
      </c>
    </row>
    <row r="2317" spans="1:10" ht="135" x14ac:dyDescent="0.25">
      <c r="A2317" s="1" t="str">
        <f>"2344-2020/27"</f>
        <v>2344-2020/27</v>
      </c>
      <c r="B2317" s="1" t="str">
        <f t="shared" si="411"/>
        <v>14.05.2020</v>
      </c>
      <c r="C2317" s="1" t="str">
        <f t="shared" si="418"/>
        <v>Закрито</v>
      </c>
      <c r="D231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17" s="1" t="str">
        <f>"Земельні питання"</f>
        <v>Земельні питання</v>
      </c>
      <c r="F23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17" s="1" t="str">
        <f>"1"</f>
        <v>1</v>
      </c>
      <c r="H2317" s="1" t="str">
        <f>"Результат"</f>
        <v>Результат</v>
      </c>
      <c r="I2317" s="1" t="str">
        <f>"Позитивний"</f>
        <v>Позитивний</v>
      </c>
      <c r="J2317" s="1" t="str">
        <f>"Так"</f>
        <v>Так</v>
      </c>
    </row>
    <row r="2318" spans="1:10" ht="90" x14ac:dyDescent="0.25">
      <c r="A2318" s="1" t="str">
        <f>"2345-2020/27"</f>
        <v>2345-2020/27</v>
      </c>
      <c r="B2318" s="1" t="str">
        <f t="shared" si="411"/>
        <v>14.05.2020</v>
      </c>
      <c r="C2318" s="1" t="str">
        <f t="shared" si="418"/>
        <v>Закрито</v>
      </c>
      <c r="D231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18" s="1" t="str">
        <f>"Інші послуги"</f>
        <v>Інші послуги</v>
      </c>
      <c r="F231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18" s="1" t="str">
        <f>"5"</f>
        <v>5</v>
      </c>
      <c r="H2318" s="1" t="str">
        <f>"Результат"</f>
        <v>Результат</v>
      </c>
      <c r="I2318" s="1" t="str">
        <f>"Позитивний"</f>
        <v>Позитивний</v>
      </c>
      <c r="J2318" s="1" t="str">
        <f>"Ні"</f>
        <v>Ні</v>
      </c>
    </row>
    <row r="2319" spans="1:10" ht="135" x14ac:dyDescent="0.25">
      <c r="A2319" s="1" t="str">
        <f>"2356-2020/27"</f>
        <v>2356-2020/27</v>
      </c>
      <c r="B2319" s="1" t="str">
        <f t="shared" si="411"/>
        <v>14.05.2020</v>
      </c>
      <c r="C2319" s="1" t="str">
        <f t="shared" si="418"/>
        <v>Закрито</v>
      </c>
      <c r="D231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19" s="1" t="str">
        <f>"Земельні питання"</f>
        <v>Земельні питання</v>
      </c>
      <c r="F23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19" s="1" t="str">
        <f t="shared" ref="G2319:G2324" si="419">"1"</f>
        <v>1</v>
      </c>
      <c r="H2319" s="1" t="str">
        <f>"Результат"</f>
        <v>Результат</v>
      </c>
      <c r="I2319" s="1" t="str">
        <f>"Позитивний"</f>
        <v>Позитивний</v>
      </c>
      <c r="J2319" s="1" t="str">
        <f t="shared" ref="J2319:J2324" si="420">"Так"</f>
        <v>Так</v>
      </c>
    </row>
    <row r="2320" spans="1:10" ht="45" x14ac:dyDescent="0.25">
      <c r="A2320" s="1" t="str">
        <f>"2340-2020/27"</f>
        <v>2340-2020/27</v>
      </c>
      <c r="B2320" s="1" t="str">
        <f t="shared" si="411"/>
        <v>14.05.2020</v>
      </c>
      <c r="C2320" s="1" t="str">
        <f t="shared" si="418"/>
        <v>Закрито</v>
      </c>
      <c r="D2320" s="1" t="str">
        <f>"Реєстрація місця проживання особи"</f>
        <v>Реєстрація місця проживання особи</v>
      </c>
      <c r="E2320" s="1" t="str">
        <f>"Реєстрація місця проживання"</f>
        <v>Реєстрація місця проживання</v>
      </c>
      <c r="F2320" s="1" t="str">
        <f>"Відділ реєстрації Новокаховської міської ради"</f>
        <v>Відділ реєстрації Новокаховської міської ради</v>
      </c>
      <c r="G2320" s="1" t="str">
        <f t="shared" si="419"/>
        <v>1</v>
      </c>
      <c r="H2320" s="1" t="str">
        <f>"Результат"</f>
        <v>Результат</v>
      </c>
      <c r="I2320" s="1" t="str">
        <f>"Позитивний"</f>
        <v>Позитивний</v>
      </c>
      <c r="J2320" s="1" t="str">
        <f t="shared" si="420"/>
        <v>Так</v>
      </c>
    </row>
    <row r="2321" spans="1:10" ht="45" x14ac:dyDescent="0.25">
      <c r="A2321" s="1" t="str">
        <f>"2343-2020/27"</f>
        <v>2343-2020/27</v>
      </c>
      <c r="B2321" s="1" t="str">
        <f t="shared" si="411"/>
        <v>14.05.2020</v>
      </c>
      <c r="C2321" s="1" t="str">
        <f t="shared" si="418"/>
        <v>Закрито</v>
      </c>
      <c r="D2321" s="1" t="str">
        <f>"Реєстрація місця проживання особи"</f>
        <v>Реєстрація місця проживання особи</v>
      </c>
      <c r="E2321" s="1" t="str">
        <f>"Реєстрація місця проживання"</f>
        <v>Реєстрація місця проживання</v>
      </c>
      <c r="F2321" s="1" t="str">
        <f>"Відділ реєстрації Новокаховської міської ради"</f>
        <v>Відділ реєстрації Новокаховської міської ради</v>
      </c>
      <c r="G2321" s="1" t="str">
        <f t="shared" si="419"/>
        <v>1</v>
      </c>
      <c r="H2321" s="1" t="str">
        <f>"Результат"</f>
        <v>Результат</v>
      </c>
      <c r="I2321" s="1" t="str">
        <f>"Позитивний"</f>
        <v>Позитивний</v>
      </c>
      <c r="J2321" s="1" t="str">
        <f t="shared" si="420"/>
        <v>Так</v>
      </c>
    </row>
    <row r="2322" spans="1:10" ht="45" x14ac:dyDescent="0.25">
      <c r="A2322" s="1" t="str">
        <f>"2338-2020/27"</f>
        <v>2338-2020/27</v>
      </c>
      <c r="B2322" s="1" t="str">
        <f t="shared" si="411"/>
        <v>14.05.2020</v>
      </c>
      <c r="C2322" s="1" t="str">
        <f t="shared" si="418"/>
        <v>Закрито</v>
      </c>
      <c r="D2322" s="1" t="str">
        <f>"Реєстрація місця проживання особи"</f>
        <v>Реєстрація місця проживання особи</v>
      </c>
      <c r="E2322" s="1" t="str">
        <f>"Реєстрація місця проживання"</f>
        <v>Реєстрація місця проживання</v>
      </c>
      <c r="F2322" s="1" t="str">
        <f>"Відділ реєстрації Новокаховської міської ради"</f>
        <v>Відділ реєстрації Новокаховської міської ради</v>
      </c>
      <c r="G2322" s="1" t="str">
        <f t="shared" si="419"/>
        <v>1</v>
      </c>
      <c r="H2322" s="1" t="str">
        <f>"Результат"</f>
        <v>Результат</v>
      </c>
      <c r="I2322" s="1" t="str">
        <f>"Позитивний"</f>
        <v>Позитивний</v>
      </c>
      <c r="J2322" s="1" t="str">
        <f t="shared" si="420"/>
        <v>Так</v>
      </c>
    </row>
    <row r="2323" spans="1:10" ht="135" x14ac:dyDescent="0.25">
      <c r="A2323" s="1" t="str">
        <f>"2334-2020/27"</f>
        <v>2334-2020/27</v>
      </c>
      <c r="B2323" s="1" t="str">
        <f t="shared" si="411"/>
        <v>14.05.2020</v>
      </c>
      <c r="C2323" s="1" t="str">
        <f t="shared" si="418"/>
        <v>Закрито</v>
      </c>
      <c r="D23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23" s="1" t="str">
        <f>"Земельні питання"</f>
        <v>Земельні питання</v>
      </c>
      <c r="F23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23" s="1" t="str">
        <f t="shared" si="419"/>
        <v>1</v>
      </c>
      <c r="H2323" s="1" t="str">
        <f>"Результат"</f>
        <v>Результат</v>
      </c>
      <c r="I2323" s="1" t="str">
        <f>"Позитивний"</f>
        <v>Позитивний</v>
      </c>
      <c r="J2323" s="1" t="str">
        <f t="shared" si="420"/>
        <v>Так</v>
      </c>
    </row>
    <row r="2324" spans="1:10" ht="135" x14ac:dyDescent="0.25">
      <c r="A2324" s="1" t="str">
        <f>"2352-2020/27"</f>
        <v>2352-2020/27</v>
      </c>
      <c r="B2324" s="1" t="str">
        <f t="shared" si="411"/>
        <v>14.05.2020</v>
      </c>
      <c r="C2324" s="1" t="str">
        <f t="shared" si="418"/>
        <v>Закрито</v>
      </c>
      <c r="D23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24" s="1" t="str">
        <f>"Земельні питання"</f>
        <v>Земельні питання</v>
      </c>
      <c r="F23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24" s="1" t="str">
        <f t="shared" si="419"/>
        <v>1</v>
      </c>
      <c r="H2324" s="1" t="str">
        <f>"Результат"</f>
        <v>Результат</v>
      </c>
      <c r="I2324" s="1" t="str">
        <f>"Позитивний"</f>
        <v>Позитивний</v>
      </c>
      <c r="J2324" s="1" t="str">
        <f t="shared" si="420"/>
        <v>Так</v>
      </c>
    </row>
    <row r="2325" spans="1:10" ht="135" x14ac:dyDescent="0.25">
      <c r="A2325" s="1" t="str">
        <f>"2353-2020/27"</f>
        <v>2353-2020/27</v>
      </c>
      <c r="B2325" s="1" t="str">
        <f t="shared" si="411"/>
        <v>14.05.2020</v>
      </c>
      <c r="C2325" s="1" t="str">
        <f t="shared" si="418"/>
        <v>Закрито</v>
      </c>
      <c r="D23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325" s="1" t="str">
        <f>"Земельні питання"</f>
        <v>Земельні питання</v>
      </c>
      <c r="F23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25" s="1" t="str">
        <f>"3"</f>
        <v>3</v>
      </c>
      <c r="H2325" s="1" t="str">
        <f>"Результат"</f>
        <v>Результат</v>
      </c>
      <c r="I2325" s="1" t="str">
        <f>"Позитивний"</f>
        <v>Позитивний</v>
      </c>
      <c r="J2325" s="1" t="str">
        <f>"Ні"</f>
        <v>Ні</v>
      </c>
    </row>
    <row r="2326" spans="1:10" ht="90" x14ac:dyDescent="0.25">
      <c r="A2326" s="1" t="str">
        <f>"2333-2020/27"</f>
        <v>2333-2020/27</v>
      </c>
      <c r="B2326" s="1" t="str">
        <f t="shared" si="411"/>
        <v>14.05.2020</v>
      </c>
      <c r="C2326" s="1" t="str">
        <f t="shared" si="418"/>
        <v>Закрито</v>
      </c>
      <c r="D232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26" s="1" t="str">
        <f>"Інші послуги"</f>
        <v>Інші послуги</v>
      </c>
      <c r="F232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26" s="1" t="str">
        <f>"5"</f>
        <v>5</v>
      </c>
      <c r="H2326" s="1" t="str">
        <f>"Результат"</f>
        <v>Результат</v>
      </c>
      <c r="I2326" s="1" t="str">
        <f>"Позитивний"</f>
        <v>Позитивний</v>
      </c>
      <c r="J2326" s="1" t="str">
        <f>"Ні"</f>
        <v>Ні</v>
      </c>
    </row>
    <row r="2327" spans="1:10" ht="135" x14ac:dyDescent="0.25">
      <c r="A2327" s="1" t="str">
        <f>"2371-2020/27"</f>
        <v>2371-2020/27</v>
      </c>
      <c r="B2327" s="1" t="str">
        <f t="shared" ref="B2327:B2352" si="421">"15.05.2020"</f>
        <v>15.05.2020</v>
      </c>
      <c r="C2327" s="1" t="str">
        <f t="shared" si="418"/>
        <v>Закрито</v>
      </c>
      <c r="D232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27" s="1" t="str">
        <f>"Земельні питання"</f>
        <v>Земельні питання</v>
      </c>
      <c r="F23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27" s="1" t="str">
        <f>"14"</f>
        <v>14</v>
      </c>
      <c r="H2327" s="1" t="str">
        <f>"Результат"</f>
        <v>Результат</v>
      </c>
      <c r="I2327" s="1" t="str">
        <f>"Позитивний"</f>
        <v>Позитивний</v>
      </c>
      <c r="J2327" s="1" t="str">
        <f>"Ні"</f>
        <v>Ні</v>
      </c>
    </row>
    <row r="2328" spans="1:10" ht="135" x14ac:dyDescent="0.25">
      <c r="A2328" s="1" t="str">
        <f>"2385-2020/27"</f>
        <v>2385-2020/27</v>
      </c>
      <c r="B2328" s="1" t="str">
        <f t="shared" si="421"/>
        <v>15.05.2020</v>
      </c>
      <c r="C2328" s="1" t="str">
        <f t="shared" si="418"/>
        <v>Закрито</v>
      </c>
      <c r="D23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28" s="1" t="str">
        <f>"Земельні питання"</f>
        <v>Земельні питання</v>
      </c>
      <c r="F23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28" s="1" t="str">
        <f>"1"</f>
        <v>1</v>
      </c>
      <c r="H2328" s="1" t="str">
        <f>"Результат"</f>
        <v>Результат</v>
      </c>
      <c r="I2328" s="1" t="str">
        <f>"Позитивний"</f>
        <v>Позитивний</v>
      </c>
      <c r="J2328" s="1" t="str">
        <f>"Так"</f>
        <v>Так</v>
      </c>
    </row>
    <row r="2329" spans="1:10" ht="45" x14ac:dyDescent="0.25">
      <c r="A2329" s="1" t="str">
        <f>"2378-2020/27"</f>
        <v>2378-2020/27</v>
      </c>
      <c r="B2329" s="1" t="str">
        <f t="shared" si="421"/>
        <v>15.05.2020</v>
      </c>
      <c r="C2329" s="1" t="str">
        <f t="shared" si="418"/>
        <v>Закрито</v>
      </c>
      <c r="D2329" s="1" t="str">
        <f>"Реєстрація місця проживання особи"</f>
        <v>Реєстрація місця проживання особи</v>
      </c>
      <c r="E2329" s="1" t="str">
        <f>"Реєстрація місця проживання"</f>
        <v>Реєстрація місця проживання</v>
      </c>
      <c r="F2329" s="1" t="str">
        <f>"Відділ реєстрації Новокаховської міської ради"</f>
        <v>Відділ реєстрації Новокаховської міської ради</v>
      </c>
      <c r="G2329" s="1" t="str">
        <f>"1"</f>
        <v>1</v>
      </c>
      <c r="H2329" s="1" t="str">
        <f>"Результат"</f>
        <v>Результат</v>
      </c>
      <c r="I2329" s="1" t="str">
        <f>"Позитивний"</f>
        <v>Позитивний</v>
      </c>
      <c r="J2329" s="1" t="str">
        <f>"Так"</f>
        <v>Так</v>
      </c>
    </row>
    <row r="2330" spans="1:10" ht="135" x14ac:dyDescent="0.25">
      <c r="A2330" s="1" t="str">
        <f>"2375-2020/27"</f>
        <v>2375-2020/27</v>
      </c>
      <c r="B2330" s="1" t="str">
        <f t="shared" si="421"/>
        <v>15.05.2020</v>
      </c>
      <c r="C2330" s="1" t="str">
        <f t="shared" si="418"/>
        <v>Закрито</v>
      </c>
      <c r="D233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30" s="1" t="str">
        <f>"Земельні питання"</f>
        <v>Земельні питання</v>
      </c>
      <c r="F23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30" s="1" t="str">
        <f>"14"</f>
        <v>14</v>
      </c>
      <c r="H2330" s="1" t="str">
        <f>"Результат"</f>
        <v>Результат</v>
      </c>
      <c r="I2330" s="1" t="str">
        <f>"Позитивний"</f>
        <v>Позитивний</v>
      </c>
      <c r="J2330" s="1" t="str">
        <f>"Ні"</f>
        <v>Ні</v>
      </c>
    </row>
    <row r="2331" spans="1:10" ht="135" x14ac:dyDescent="0.25">
      <c r="A2331" s="1" t="str">
        <f>"2372-2020/27"</f>
        <v>2372-2020/27</v>
      </c>
      <c r="B2331" s="1" t="str">
        <f t="shared" si="421"/>
        <v>15.05.2020</v>
      </c>
      <c r="C2331" s="1" t="str">
        <f t="shared" si="418"/>
        <v>Закрито</v>
      </c>
      <c r="D233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31" s="1" t="str">
        <f>"Земельні питання"</f>
        <v>Земельні питання</v>
      </c>
      <c r="F23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31" s="1" t="str">
        <f>"14"</f>
        <v>14</v>
      </c>
      <c r="H2331" s="1" t="str">
        <f>"Результат"</f>
        <v>Результат</v>
      </c>
      <c r="I2331" s="1" t="str">
        <f>"Позитивний"</f>
        <v>Позитивний</v>
      </c>
      <c r="J2331" s="1" t="str">
        <f>"Ні"</f>
        <v>Ні</v>
      </c>
    </row>
    <row r="2332" spans="1:10" ht="90" x14ac:dyDescent="0.25">
      <c r="A2332" s="1" t="str">
        <f>"2368-2020/27"</f>
        <v>2368-2020/27</v>
      </c>
      <c r="B2332" s="1" t="str">
        <f t="shared" si="421"/>
        <v>15.05.2020</v>
      </c>
      <c r="C2332" s="1" t="str">
        <f t="shared" si="418"/>
        <v>Закрито</v>
      </c>
      <c r="D233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32" s="1" t="str">
        <f>"Інші послуги"</f>
        <v>Інші послуги</v>
      </c>
      <c r="F233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32" s="1" t="str">
        <f>"5"</f>
        <v>5</v>
      </c>
      <c r="H2332" s="1" t="str">
        <f>"Результат"</f>
        <v>Результат</v>
      </c>
      <c r="I2332" s="1" t="str">
        <f>"Позитивний"</f>
        <v>Позитивний</v>
      </c>
      <c r="J2332" s="1" t="str">
        <f>"Ні"</f>
        <v>Ні</v>
      </c>
    </row>
    <row r="2333" spans="1:10" ht="135" x14ac:dyDescent="0.25">
      <c r="A2333" s="1" t="str">
        <f>"2393-2020/27"</f>
        <v>2393-2020/27</v>
      </c>
      <c r="B2333" s="1" t="str">
        <f t="shared" si="421"/>
        <v>15.05.2020</v>
      </c>
      <c r="C2333" s="1" t="str">
        <f t="shared" si="418"/>
        <v>Закрито</v>
      </c>
      <c r="D23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33" s="1" t="str">
        <f>"Земельні питання"</f>
        <v>Земельні питання</v>
      </c>
      <c r="F23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33" s="1" t="str">
        <f>"1"</f>
        <v>1</v>
      </c>
      <c r="H2333" s="1" t="str">
        <f>"Результат"</f>
        <v>Результат</v>
      </c>
      <c r="I2333" s="1" t="str">
        <f>"Позитивний"</f>
        <v>Позитивний</v>
      </c>
      <c r="J2333" s="1" t="str">
        <f>"Так"</f>
        <v>Так</v>
      </c>
    </row>
    <row r="2334" spans="1:10" ht="135" x14ac:dyDescent="0.25">
      <c r="A2334" s="1" t="str">
        <f>"2383-2020/27"</f>
        <v>2383-2020/27</v>
      </c>
      <c r="B2334" s="1" t="str">
        <f t="shared" si="421"/>
        <v>15.05.2020</v>
      </c>
      <c r="C2334" s="1" t="str">
        <f t="shared" si="418"/>
        <v>Закрито</v>
      </c>
      <c r="D233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334" s="1" t="str">
        <f>"Земельні питання"</f>
        <v>Земельні питання</v>
      </c>
      <c r="F23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34" s="1" t="str">
        <f>"3"</f>
        <v>3</v>
      </c>
      <c r="H2334" s="1" t="str">
        <f>"Результат"</f>
        <v>Результат</v>
      </c>
      <c r="I2334" s="1" t="str">
        <f>"Позитивний"</f>
        <v>Позитивний</v>
      </c>
      <c r="J2334" s="1" t="str">
        <f>"Ні"</f>
        <v>Ні</v>
      </c>
    </row>
    <row r="2335" spans="1:10" ht="45" x14ac:dyDescent="0.25">
      <c r="A2335" s="1" t="str">
        <f>"2377-2020/27"</f>
        <v>2377-2020/27</v>
      </c>
      <c r="B2335" s="1" t="str">
        <f t="shared" si="421"/>
        <v>15.05.2020</v>
      </c>
      <c r="C2335" s="1" t="str">
        <f t="shared" si="418"/>
        <v>Закрито</v>
      </c>
      <c r="D2335" s="1" t="str">
        <f>"Реєстрація місця проживання особи"</f>
        <v>Реєстрація місця проживання особи</v>
      </c>
      <c r="E2335" s="1" t="str">
        <f>"Реєстрація місця проживання"</f>
        <v>Реєстрація місця проживання</v>
      </c>
      <c r="F2335" s="1" t="str">
        <f>"Відділ реєстрації Новокаховської міської ради"</f>
        <v>Відділ реєстрації Новокаховської міської ради</v>
      </c>
      <c r="G2335" s="1" t="str">
        <f>"1"</f>
        <v>1</v>
      </c>
      <c r="H2335" s="1" t="str">
        <f>"Результат"</f>
        <v>Результат</v>
      </c>
      <c r="I2335" s="1" t="str">
        <f>"Позитивний"</f>
        <v>Позитивний</v>
      </c>
      <c r="J2335" s="1" t="str">
        <f>"Так"</f>
        <v>Так</v>
      </c>
    </row>
    <row r="2336" spans="1:10" ht="45" x14ac:dyDescent="0.25">
      <c r="A2336" s="1" t="str">
        <f>"2381-2020/27"</f>
        <v>2381-2020/27</v>
      </c>
      <c r="B2336" s="1" t="str">
        <f t="shared" si="421"/>
        <v>15.05.2020</v>
      </c>
      <c r="C2336" s="1" t="str">
        <f t="shared" si="418"/>
        <v>Закрито</v>
      </c>
      <c r="D2336" s="1" t="str">
        <f>"Реєстрація місця проживання особи"</f>
        <v>Реєстрація місця проживання особи</v>
      </c>
      <c r="E2336" s="1" t="str">
        <f>"Реєстрація місця проживання"</f>
        <v>Реєстрація місця проживання</v>
      </c>
      <c r="F2336" s="1" t="str">
        <f>"Відділ реєстрації Новокаховської міської ради"</f>
        <v>Відділ реєстрації Новокаховської міської ради</v>
      </c>
      <c r="G2336" s="1" t="str">
        <f>"1"</f>
        <v>1</v>
      </c>
      <c r="H2336" s="1" t="str">
        <f>"Результат"</f>
        <v>Результат</v>
      </c>
      <c r="I2336" s="1" t="str">
        <f>"Позитивний"</f>
        <v>Позитивний</v>
      </c>
      <c r="J2336" s="1" t="str">
        <f>"Так"</f>
        <v>Так</v>
      </c>
    </row>
    <row r="2337" spans="1:10" ht="135" x14ac:dyDescent="0.25">
      <c r="A2337" s="1" t="str">
        <f>"2373-2020/27"</f>
        <v>2373-2020/27</v>
      </c>
      <c r="B2337" s="1" t="str">
        <f t="shared" si="421"/>
        <v>15.05.2020</v>
      </c>
      <c r="C2337" s="1" t="str">
        <f t="shared" si="418"/>
        <v>Закрито</v>
      </c>
      <c r="D233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37" s="1" t="str">
        <f>"Земельні питання"</f>
        <v>Земельні питання</v>
      </c>
      <c r="F23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37" s="1" t="str">
        <f>"14"</f>
        <v>14</v>
      </c>
      <c r="H2337" s="1" t="str">
        <f>"Результат"</f>
        <v>Результат</v>
      </c>
      <c r="I2337" s="1" t="str">
        <f>"Позитивний"</f>
        <v>Позитивний</v>
      </c>
      <c r="J2337" s="1" t="str">
        <f>"Ні"</f>
        <v>Ні</v>
      </c>
    </row>
    <row r="2338" spans="1:10" ht="45" x14ac:dyDescent="0.25">
      <c r="A2338" s="1" t="str">
        <f>"2379-2020/27"</f>
        <v>2379-2020/27</v>
      </c>
      <c r="B2338" s="1" t="str">
        <f t="shared" si="421"/>
        <v>15.05.2020</v>
      </c>
      <c r="C2338" s="1" t="str">
        <f t="shared" si="418"/>
        <v>Закрито</v>
      </c>
      <c r="D2338" s="1" t="str">
        <f>"Зняття з реєстрації місця проживання"</f>
        <v>Зняття з реєстрації місця проживання</v>
      </c>
      <c r="E2338" s="1" t="str">
        <f>"Реєстрація місця проживання"</f>
        <v>Реєстрація місця проживання</v>
      </c>
      <c r="F2338" s="1" t="str">
        <f>"Відділ реєстрації Новокаховської міської ради"</f>
        <v>Відділ реєстрації Новокаховської міської ради</v>
      </c>
      <c r="G2338" s="1" t="str">
        <f t="shared" ref="G2338:G2343" si="422">"1"</f>
        <v>1</v>
      </c>
      <c r="H2338" s="1" t="str">
        <f>"Результат"</f>
        <v>Результат</v>
      </c>
      <c r="I2338" s="1" t="str">
        <f>"Позитивний"</f>
        <v>Позитивний</v>
      </c>
      <c r="J2338" s="1" t="str">
        <f t="shared" ref="J2338:J2343" si="423">"Так"</f>
        <v>Так</v>
      </c>
    </row>
    <row r="2339" spans="1:10" ht="45" x14ac:dyDescent="0.25">
      <c r="A2339" s="1" t="str">
        <f>"2376-2020/27"</f>
        <v>2376-2020/27</v>
      </c>
      <c r="B2339" s="1" t="str">
        <f t="shared" si="421"/>
        <v>15.05.2020</v>
      </c>
      <c r="C2339" s="1" t="str">
        <f t="shared" si="418"/>
        <v>Закрито</v>
      </c>
      <c r="D2339" s="1" t="str">
        <f>"Реєстрація місця проживання особи"</f>
        <v>Реєстрація місця проживання особи</v>
      </c>
      <c r="E2339" s="1" t="str">
        <f>"Реєстрація місця проживання"</f>
        <v>Реєстрація місця проживання</v>
      </c>
      <c r="F2339" s="1" t="str">
        <f>"Відділ реєстрації Новокаховської міської ради"</f>
        <v>Відділ реєстрації Новокаховської міської ради</v>
      </c>
      <c r="G2339" s="1" t="str">
        <f t="shared" si="422"/>
        <v>1</v>
      </c>
      <c r="H2339" s="1" t="str">
        <f>"Результат"</f>
        <v>Результат</v>
      </c>
      <c r="I2339" s="1" t="str">
        <f>"Позитивний"</f>
        <v>Позитивний</v>
      </c>
      <c r="J2339" s="1" t="str">
        <f t="shared" si="423"/>
        <v>Так</v>
      </c>
    </row>
    <row r="2340" spans="1:10" ht="135" x14ac:dyDescent="0.25">
      <c r="A2340" s="1" t="str">
        <f>"2384-2020/27"</f>
        <v>2384-2020/27</v>
      </c>
      <c r="B2340" s="1" t="str">
        <f t="shared" si="421"/>
        <v>15.05.2020</v>
      </c>
      <c r="C2340" s="1" t="str">
        <f t="shared" si="418"/>
        <v>Закрито</v>
      </c>
      <c r="D234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40" s="1" t="str">
        <f>"Земельні питання"</f>
        <v>Земельні питання</v>
      </c>
      <c r="F23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40" s="1" t="str">
        <f t="shared" si="422"/>
        <v>1</v>
      </c>
      <c r="H2340" s="1" t="str">
        <f>"Результат"</f>
        <v>Результат</v>
      </c>
      <c r="I2340" s="1" t="str">
        <f>"Позитивний"</f>
        <v>Позитивний</v>
      </c>
      <c r="J2340" s="1" t="str">
        <f t="shared" si="423"/>
        <v>Так</v>
      </c>
    </row>
    <row r="2341" spans="1:10" ht="45" x14ac:dyDescent="0.25">
      <c r="A2341" s="1" t="str">
        <f>"2387-2020/27"</f>
        <v>2387-2020/27</v>
      </c>
      <c r="B2341" s="1" t="str">
        <f t="shared" si="421"/>
        <v>15.05.2020</v>
      </c>
      <c r="C2341" s="1" t="str">
        <f t="shared" si="418"/>
        <v>Закрито</v>
      </c>
      <c r="D2341" s="1" t="str">
        <f>"Зняття з реєстрації місця проживання"</f>
        <v>Зняття з реєстрації місця проживання</v>
      </c>
      <c r="E2341" s="1" t="str">
        <f>"Реєстрація місця проживання"</f>
        <v>Реєстрація місця проживання</v>
      </c>
      <c r="F2341" s="1" t="str">
        <f>"Відділ реєстрації Новокаховської міської ради"</f>
        <v>Відділ реєстрації Новокаховської міської ради</v>
      </c>
      <c r="G2341" s="1" t="str">
        <f t="shared" si="422"/>
        <v>1</v>
      </c>
      <c r="H2341" s="1" t="str">
        <f>"Результат"</f>
        <v>Результат</v>
      </c>
      <c r="I2341" s="1" t="str">
        <f>"Позитивний"</f>
        <v>Позитивний</v>
      </c>
      <c r="J2341" s="1" t="str">
        <f t="shared" si="423"/>
        <v>Так</v>
      </c>
    </row>
    <row r="2342" spans="1:10" ht="45" x14ac:dyDescent="0.25">
      <c r="A2342" s="1" t="str">
        <f>"2390-2020/27"</f>
        <v>2390-2020/27</v>
      </c>
      <c r="B2342" s="1" t="str">
        <f t="shared" si="421"/>
        <v>15.05.2020</v>
      </c>
      <c r="C2342" s="1" t="str">
        <f t="shared" si="418"/>
        <v>Закрито</v>
      </c>
      <c r="D2342" s="1" t="str">
        <f>"Зняття з реєстрації місця проживання"</f>
        <v>Зняття з реєстрації місця проживання</v>
      </c>
      <c r="E2342" s="1" t="str">
        <f>"Реєстрація місця проживання"</f>
        <v>Реєстрація місця проживання</v>
      </c>
      <c r="F2342" s="1" t="str">
        <f>"Відділ реєстрації Новокаховської міської ради"</f>
        <v>Відділ реєстрації Новокаховської міської ради</v>
      </c>
      <c r="G2342" s="1" t="str">
        <f t="shared" si="422"/>
        <v>1</v>
      </c>
      <c r="H2342" s="1" t="str">
        <f>"Результат"</f>
        <v>Результат</v>
      </c>
      <c r="I2342" s="1" t="str">
        <f>"Позитивний"</f>
        <v>Позитивний</v>
      </c>
      <c r="J2342" s="1" t="str">
        <f t="shared" si="423"/>
        <v>Так</v>
      </c>
    </row>
    <row r="2343" spans="1:10" ht="135" x14ac:dyDescent="0.25">
      <c r="A2343" s="1" t="str">
        <f>"2386-2020/27"</f>
        <v>2386-2020/27</v>
      </c>
      <c r="B2343" s="1" t="str">
        <f t="shared" si="421"/>
        <v>15.05.2020</v>
      </c>
      <c r="C2343" s="1" t="str">
        <f t="shared" si="418"/>
        <v>Закрито</v>
      </c>
      <c r="D234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43" s="1" t="str">
        <f>"Земельні питання"</f>
        <v>Земельні питання</v>
      </c>
      <c r="F23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43" s="1" t="str">
        <f t="shared" si="422"/>
        <v>1</v>
      </c>
      <c r="H2343" s="1" t="str">
        <f>"Результат"</f>
        <v>Результат</v>
      </c>
      <c r="I2343" s="1" t="str">
        <f>"Позитивний"</f>
        <v>Позитивний</v>
      </c>
      <c r="J2343" s="1" t="str">
        <f t="shared" si="423"/>
        <v>Так</v>
      </c>
    </row>
    <row r="2344" spans="1:10" ht="90" x14ac:dyDescent="0.25">
      <c r="A2344" s="1" t="str">
        <f>"2388-2020/27"</f>
        <v>2388-2020/27</v>
      </c>
      <c r="B2344" s="1" t="str">
        <f t="shared" si="421"/>
        <v>15.05.2020</v>
      </c>
      <c r="C2344" s="1" t="str">
        <f t="shared" si="418"/>
        <v>Закрито</v>
      </c>
      <c r="D23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44" s="1" t="str">
        <f>"Інші послуги"</f>
        <v>Інші послуги</v>
      </c>
      <c r="F23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44" s="1" t="str">
        <f>"5"</f>
        <v>5</v>
      </c>
      <c r="H2344" s="1" t="str">
        <f>"Результат"</f>
        <v>Результат</v>
      </c>
      <c r="I2344" s="1" t="str">
        <f>"Позитивний"</f>
        <v>Позитивний</v>
      </c>
      <c r="J2344" s="1" t="str">
        <f>"Ні"</f>
        <v>Ні</v>
      </c>
    </row>
    <row r="2345" spans="1:10" ht="45" x14ac:dyDescent="0.25">
      <c r="A2345" s="1" t="str">
        <f>"2382-2020/27"</f>
        <v>2382-2020/27</v>
      </c>
      <c r="B2345" s="1" t="str">
        <f t="shared" si="421"/>
        <v>15.05.2020</v>
      </c>
      <c r="C2345" s="1" t="str">
        <f t="shared" si="418"/>
        <v>Закрито</v>
      </c>
      <c r="D2345" s="1" t="str">
        <f>"Реєстрація місця проживання особи"</f>
        <v>Реєстрація місця проживання особи</v>
      </c>
      <c r="E2345" s="1" t="str">
        <f>"Реєстрація місця проживання"</f>
        <v>Реєстрація місця проживання</v>
      </c>
      <c r="F2345" s="1" t="str">
        <f>"Відділ реєстрації Новокаховської міської ради"</f>
        <v>Відділ реєстрації Новокаховської міської ради</v>
      </c>
      <c r="G2345" s="1" t="str">
        <f>"1"</f>
        <v>1</v>
      </c>
      <c r="H2345" s="1" t="str">
        <f>"Результат"</f>
        <v>Результат</v>
      </c>
      <c r="I2345" s="1" t="str">
        <f>"Позитивний"</f>
        <v>Позитивний</v>
      </c>
      <c r="J2345" s="1" t="str">
        <f>"Так"</f>
        <v>Так</v>
      </c>
    </row>
    <row r="2346" spans="1:10" ht="135" x14ac:dyDescent="0.25">
      <c r="A2346" s="1" t="str">
        <f>"2369-2020/27"</f>
        <v>2369-2020/27</v>
      </c>
      <c r="B2346" s="1" t="str">
        <f t="shared" si="421"/>
        <v>15.05.2020</v>
      </c>
      <c r="C2346" s="1" t="str">
        <f t="shared" si="418"/>
        <v>Закрито</v>
      </c>
      <c r="D234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46" s="1" t="str">
        <f>"Земельні питання"</f>
        <v>Земельні питання</v>
      </c>
      <c r="F23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46" s="1" t="str">
        <f>"1"</f>
        <v>1</v>
      </c>
      <c r="H2346" s="1" t="str">
        <f>"Результат"</f>
        <v>Результат</v>
      </c>
      <c r="I2346" s="1" t="str">
        <f>"Позитивний"</f>
        <v>Позитивний</v>
      </c>
      <c r="J2346" s="1" t="str">
        <f>"Так"</f>
        <v>Так</v>
      </c>
    </row>
    <row r="2347" spans="1:10" ht="45" x14ac:dyDescent="0.25">
      <c r="A2347" s="1" t="str">
        <f>"2391-2020/27"</f>
        <v>2391-2020/27</v>
      </c>
      <c r="B2347" s="1" t="str">
        <f t="shared" si="421"/>
        <v>15.05.2020</v>
      </c>
      <c r="C2347" s="1" t="str">
        <f t="shared" si="418"/>
        <v>Закрито</v>
      </c>
      <c r="D2347" s="1" t="str">
        <f>"Зняття з реєстрації місця проживання"</f>
        <v>Зняття з реєстрації місця проживання</v>
      </c>
      <c r="E2347" s="1" t="str">
        <f>"Реєстрація місця проживання"</f>
        <v>Реєстрація місця проживання</v>
      </c>
      <c r="F2347" s="1" t="str">
        <f>"Відділ реєстрації Новокаховської міської ради"</f>
        <v>Відділ реєстрації Новокаховської міської ради</v>
      </c>
      <c r="G2347" s="1" t="str">
        <f>"1"</f>
        <v>1</v>
      </c>
      <c r="H2347" s="1" t="str">
        <f>"Результат"</f>
        <v>Результат</v>
      </c>
      <c r="I2347" s="1" t="str">
        <f>"Позитивний"</f>
        <v>Позитивний</v>
      </c>
      <c r="J2347" s="1" t="str">
        <f>"Так"</f>
        <v>Так</v>
      </c>
    </row>
    <row r="2348" spans="1:10" ht="45" x14ac:dyDescent="0.25">
      <c r="A2348" s="1" t="str">
        <f>"2380-2020/27"</f>
        <v>2380-2020/27</v>
      </c>
      <c r="B2348" s="1" t="str">
        <f t="shared" si="421"/>
        <v>15.05.2020</v>
      </c>
      <c r="C2348" s="1" t="str">
        <f t="shared" si="418"/>
        <v>Закрито</v>
      </c>
      <c r="D2348" s="1" t="str">
        <f>"Реєстрація місця проживання особи"</f>
        <v>Реєстрація місця проживання особи</v>
      </c>
      <c r="E2348" s="1" t="str">
        <f>"Реєстрація місця проживання"</f>
        <v>Реєстрація місця проживання</v>
      </c>
      <c r="F2348" s="1" t="str">
        <f>"Відділ реєстрації Новокаховської міської ради"</f>
        <v>Відділ реєстрації Новокаховської міської ради</v>
      </c>
      <c r="G2348" s="1" t="str">
        <f>"1"</f>
        <v>1</v>
      </c>
      <c r="H2348" s="1" t="str">
        <f>"Результат"</f>
        <v>Результат</v>
      </c>
      <c r="I2348" s="1" t="str">
        <f>"Мотивована відмова"</f>
        <v>Мотивована відмова</v>
      </c>
      <c r="J2348" s="1" t="str">
        <f>"Так"</f>
        <v>Так</v>
      </c>
    </row>
    <row r="2349" spans="1:10" ht="135" x14ac:dyDescent="0.25">
      <c r="A2349" s="1" t="str">
        <f>"2370-2020/27"</f>
        <v>2370-2020/27</v>
      </c>
      <c r="B2349" s="1" t="str">
        <f t="shared" si="421"/>
        <v>15.05.2020</v>
      </c>
      <c r="C2349" s="1" t="str">
        <f t="shared" si="418"/>
        <v>Закрито</v>
      </c>
      <c r="D23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49" s="1" t="str">
        <f>"Земельні питання"</f>
        <v>Земельні питання</v>
      </c>
      <c r="F234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49" s="1" t="str">
        <f>"1"</f>
        <v>1</v>
      </c>
      <c r="H2349" s="1" t="str">
        <f>"Результат"</f>
        <v>Результат</v>
      </c>
      <c r="I2349" s="1" t="str">
        <f>"Позитивний"</f>
        <v>Позитивний</v>
      </c>
      <c r="J2349" s="1" t="str">
        <f>"Так"</f>
        <v>Так</v>
      </c>
    </row>
    <row r="2350" spans="1:10" ht="135" x14ac:dyDescent="0.25">
      <c r="A2350" s="1" t="str">
        <f>"2374-2020/27"</f>
        <v>2374-2020/27</v>
      </c>
      <c r="B2350" s="1" t="str">
        <f t="shared" si="421"/>
        <v>15.05.2020</v>
      </c>
      <c r="C2350" s="1" t="str">
        <f t="shared" si="418"/>
        <v>Закрито</v>
      </c>
      <c r="D235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50" s="1" t="str">
        <f>"Земельні питання"</f>
        <v>Земельні питання</v>
      </c>
      <c r="F23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0" s="1" t="str">
        <f>"14"</f>
        <v>14</v>
      </c>
      <c r="H2350" s="1" t="str">
        <f>"Результат"</f>
        <v>Результат</v>
      </c>
      <c r="I2350" s="1" t="str">
        <f>"Позитивний"</f>
        <v>Позитивний</v>
      </c>
      <c r="J2350" s="1" t="str">
        <f>"Ні"</f>
        <v>Ні</v>
      </c>
    </row>
    <row r="2351" spans="1:10" ht="135" x14ac:dyDescent="0.25">
      <c r="A2351" s="1" t="str">
        <f>"2389-2020/27"</f>
        <v>2389-2020/27</v>
      </c>
      <c r="B2351" s="1" t="str">
        <f t="shared" si="421"/>
        <v>15.05.2020</v>
      </c>
      <c r="C2351" s="1" t="str">
        <f t="shared" si="418"/>
        <v>Закрито</v>
      </c>
      <c r="D235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51" s="1" t="str">
        <f>"Земельні питання"</f>
        <v>Земельні питання</v>
      </c>
      <c r="F23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1" s="1" t="str">
        <f>"1"</f>
        <v>1</v>
      </c>
      <c r="H2351" s="1" t="str">
        <f>"Результат"</f>
        <v>Результат</v>
      </c>
      <c r="I2351" s="1" t="str">
        <f>"Позитивний"</f>
        <v>Позитивний</v>
      </c>
      <c r="J2351" s="1" t="str">
        <f>"Так"</f>
        <v>Так</v>
      </c>
    </row>
    <row r="2352" spans="1:10" ht="45" x14ac:dyDescent="0.25">
      <c r="A2352" s="1" t="str">
        <f>"2392-2020/27"</f>
        <v>2392-2020/27</v>
      </c>
      <c r="B2352" s="1" t="str">
        <f t="shared" si="421"/>
        <v>15.05.2020</v>
      </c>
      <c r="C2352" s="1" t="str">
        <f t="shared" si="418"/>
        <v>Закрито</v>
      </c>
      <c r="D2352" s="1" t="str">
        <f>"Зняття з реєстрації місця проживання"</f>
        <v>Зняття з реєстрації місця проживання</v>
      </c>
      <c r="E2352" s="1" t="str">
        <f>"Реєстрація місця проживання"</f>
        <v>Реєстрація місця проживання</v>
      </c>
      <c r="F2352" s="1" t="str">
        <f>"Відділ реєстрації Новокаховської міської ради"</f>
        <v>Відділ реєстрації Новокаховської міської ради</v>
      </c>
      <c r="G2352" s="1" t="str">
        <f>"1"</f>
        <v>1</v>
      </c>
      <c r="H2352" s="1" t="str">
        <f>"Результат"</f>
        <v>Результат</v>
      </c>
      <c r="I2352" s="1" t="str">
        <f>"Позитивний"</f>
        <v>Позитивний</v>
      </c>
      <c r="J2352" s="1" t="str">
        <f>"Так"</f>
        <v>Так</v>
      </c>
    </row>
    <row r="2353" spans="1:10" ht="135" x14ac:dyDescent="0.25">
      <c r="A2353" s="1" t="str">
        <f>"2397-2020/27"</f>
        <v>2397-2020/27</v>
      </c>
      <c r="B2353" s="1" t="str">
        <f t="shared" ref="B2353:B2380" si="424">"18.05.2020"</f>
        <v>18.05.2020</v>
      </c>
      <c r="C2353" s="1" t="str">
        <f t="shared" si="418"/>
        <v>Закрито</v>
      </c>
      <c r="D235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53" s="1" t="str">
        <f>"Земельні питання"</f>
        <v>Земельні питання</v>
      </c>
      <c r="F23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3" s="1" t="str">
        <f>"1"</f>
        <v>1</v>
      </c>
      <c r="H2353" s="1" t="str">
        <f>"Результат"</f>
        <v>Результат</v>
      </c>
      <c r="I2353" s="1" t="str">
        <f>"Позитивний"</f>
        <v>Позитивний</v>
      </c>
      <c r="J2353" s="1" t="str">
        <f>"Так"</f>
        <v>Так</v>
      </c>
    </row>
    <row r="2354" spans="1:10" ht="45" x14ac:dyDescent="0.25">
      <c r="A2354" s="1" t="str">
        <f>"2411-2020/27"</f>
        <v>2411-2020/27</v>
      </c>
      <c r="B2354" s="1" t="str">
        <f t="shared" si="424"/>
        <v>18.05.2020</v>
      </c>
      <c r="C2354" s="1" t="str">
        <f t="shared" si="418"/>
        <v>Закрито</v>
      </c>
      <c r="D2354" s="1" t="str">
        <f>"Реєстрація місця проживання особи"</f>
        <v>Реєстрація місця проживання особи</v>
      </c>
      <c r="E2354" s="1" t="str">
        <f>"Реєстрація місця проживання"</f>
        <v>Реєстрація місця проживання</v>
      </c>
      <c r="F2354" s="1" t="str">
        <f>"Відділ реєстрації Новокаховської міської ради"</f>
        <v>Відділ реєстрації Новокаховської міської ради</v>
      </c>
      <c r="G2354" s="1" t="str">
        <f>"1"</f>
        <v>1</v>
      </c>
      <c r="H2354" s="1" t="str">
        <f>"Результат"</f>
        <v>Результат</v>
      </c>
      <c r="I2354" s="1" t="str">
        <f>"Позитивний"</f>
        <v>Позитивний</v>
      </c>
      <c r="J2354" s="1" t="str">
        <f>"Так"</f>
        <v>Так</v>
      </c>
    </row>
    <row r="2355" spans="1:10" ht="135" x14ac:dyDescent="0.25">
      <c r="A2355" s="1" t="str">
        <f>"2400-2020/27"</f>
        <v>2400-2020/27</v>
      </c>
      <c r="B2355" s="1" t="str">
        <f t="shared" si="424"/>
        <v>18.05.2020</v>
      </c>
      <c r="C2355" s="1" t="str">
        <f t="shared" si="418"/>
        <v>Закрито</v>
      </c>
      <c r="D235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55" s="1" t="str">
        <f>"Земельні питання"</f>
        <v>Земельні питання</v>
      </c>
      <c r="F23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5" s="1" t="str">
        <f>"14"</f>
        <v>14</v>
      </c>
      <c r="H2355" s="1" t="str">
        <f>"Результат"</f>
        <v>Результат</v>
      </c>
      <c r="I2355" s="1" t="str">
        <f>"Позитивний"</f>
        <v>Позитивний</v>
      </c>
      <c r="J2355" s="1" t="str">
        <f>"Ні"</f>
        <v>Ні</v>
      </c>
    </row>
    <row r="2356" spans="1:10" ht="135" x14ac:dyDescent="0.25">
      <c r="A2356" s="1" t="str">
        <f>"2403-2020/27"</f>
        <v>2403-2020/27</v>
      </c>
      <c r="B2356" s="1" t="str">
        <f t="shared" si="424"/>
        <v>18.05.2020</v>
      </c>
      <c r="C2356" s="1" t="str">
        <f t="shared" si="418"/>
        <v>Закрито</v>
      </c>
      <c r="D235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56" s="1" t="str">
        <f>"Земельні питання"</f>
        <v>Земельні питання</v>
      </c>
      <c r="F23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6" s="1" t="str">
        <f>"1"</f>
        <v>1</v>
      </c>
      <c r="H2356" s="1" t="str">
        <f>"Результат"</f>
        <v>Результат</v>
      </c>
      <c r="I2356" s="1" t="str">
        <f>"Позитивний"</f>
        <v>Позитивний</v>
      </c>
      <c r="J2356" s="1" t="str">
        <f>"Так"</f>
        <v>Так</v>
      </c>
    </row>
    <row r="2357" spans="1:10" ht="135" x14ac:dyDescent="0.25">
      <c r="A2357" s="1" t="str">
        <f>"2419-2020/27"</f>
        <v>2419-2020/27</v>
      </c>
      <c r="B2357" s="1" t="str">
        <f t="shared" si="424"/>
        <v>18.05.2020</v>
      </c>
      <c r="C2357" s="1" t="str">
        <f t="shared" si="418"/>
        <v>Закрито</v>
      </c>
      <c r="D235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57" s="1" t="str">
        <f>"Земельні питання"</f>
        <v>Земельні питання</v>
      </c>
      <c r="F23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7" s="1" t="str">
        <f>"14"</f>
        <v>14</v>
      </c>
      <c r="H2357" s="1" t="str">
        <f>"Результат"</f>
        <v>Результат</v>
      </c>
      <c r="I2357" s="1" t="str">
        <f>"Позитивний"</f>
        <v>Позитивний</v>
      </c>
      <c r="J2357" s="1" t="str">
        <f>"Ні"</f>
        <v>Ні</v>
      </c>
    </row>
    <row r="2358" spans="1:10" ht="135" x14ac:dyDescent="0.25">
      <c r="A2358" s="1" t="str">
        <f>"2410-2020/27"</f>
        <v>2410-2020/27</v>
      </c>
      <c r="B2358" s="1" t="str">
        <f t="shared" si="424"/>
        <v>18.05.2020</v>
      </c>
      <c r="C2358" s="1" t="str">
        <f t="shared" si="418"/>
        <v>Закрито</v>
      </c>
      <c r="D235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58" s="1" t="str">
        <f>"Земельні питання"</f>
        <v>Земельні питання</v>
      </c>
      <c r="F23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58" s="1" t="str">
        <f>"14"</f>
        <v>14</v>
      </c>
      <c r="H2358" s="1" t="str">
        <f>"Результат"</f>
        <v>Результат</v>
      </c>
      <c r="I2358" s="1" t="str">
        <f>"Позитивний"</f>
        <v>Позитивний</v>
      </c>
      <c r="J2358" s="1" t="str">
        <f>"Ні"</f>
        <v>Ні</v>
      </c>
    </row>
    <row r="2359" spans="1:10" ht="45" x14ac:dyDescent="0.25">
      <c r="A2359" s="1" t="str">
        <f>"2413-2020/27"</f>
        <v>2413-2020/27</v>
      </c>
      <c r="B2359" s="1" t="str">
        <f t="shared" si="424"/>
        <v>18.05.2020</v>
      </c>
      <c r="C2359" s="1" t="str">
        <f t="shared" si="418"/>
        <v>Закрито</v>
      </c>
      <c r="D2359" s="1" t="str">
        <f>"Реєстрація місця проживання особи"</f>
        <v>Реєстрація місця проживання особи</v>
      </c>
      <c r="E2359" s="1" t="str">
        <f>"Реєстрація місця проживання"</f>
        <v>Реєстрація місця проживання</v>
      </c>
      <c r="F2359" s="1" t="str">
        <f>"Відділ реєстрації Новокаховської міської ради"</f>
        <v>Відділ реєстрації Новокаховської міської ради</v>
      </c>
      <c r="G2359" s="1" t="str">
        <f>"1"</f>
        <v>1</v>
      </c>
      <c r="H2359" s="1" t="str">
        <f>"Результат"</f>
        <v>Результат</v>
      </c>
      <c r="I2359" s="1" t="str">
        <f>"Позитивний"</f>
        <v>Позитивний</v>
      </c>
      <c r="J2359" s="1" t="str">
        <f>"Так"</f>
        <v>Так</v>
      </c>
    </row>
    <row r="2360" spans="1:10" ht="135" x14ac:dyDescent="0.25">
      <c r="A2360" s="1" t="str">
        <f>"2405-2020/27"</f>
        <v>2405-2020/27</v>
      </c>
      <c r="B2360" s="1" t="str">
        <f t="shared" si="424"/>
        <v>18.05.2020</v>
      </c>
      <c r="C2360" s="1" t="str">
        <f t="shared" si="418"/>
        <v>Закрито</v>
      </c>
      <c r="D23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60" s="1" t="str">
        <f>"Земельні питання"</f>
        <v>Земельні питання</v>
      </c>
      <c r="F23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60" s="1" t="str">
        <f>"1"</f>
        <v>1</v>
      </c>
      <c r="H2360" s="1" t="str">
        <f>"Результат"</f>
        <v>Результат</v>
      </c>
      <c r="I2360" s="1" t="str">
        <f>"Позитивний"</f>
        <v>Позитивний</v>
      </c>
      <c r="J2360" s="1" t="str">
        <f>"Так"</f>
        <v>Так</v>
      </c>
    </row>
    <row r="2361" spans="1:10" ht="135" x14ac:dyDescent="0.25">
      <c r="A2361" s="1" t="str">
        <f>"2399-2020/27"</f>
        <v>2399-2020/27</v>
      </c>
      <c r="B2361" s="1" t="str">
        <f t="shared" si="424"/>
        <v>18.05.2020</v>
      </c>
      <c r="C2361" s="1" t="str">
        <f t="shared" si="418"/>
        <v>Закрито</v>
      </c>
      <c r="D23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61" s="1" t="str">
        <f>"Земельні питання"</f>
        <v>Земельні питання</v>
      </c>
      <c r="F23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61" s="1" t="str">
        <f>"1"</f>
        <v>1</v>
      </c>
      <c r="H2361" s="1" t="str">
        <f>"Результат"</f>
        <v>Результат</v>
      </c>
      <c r="I2361" s="1" t="str">
        <f>"Позитивний"</f>
        <v>Позитивний</v>
      </c>
      <c r="J2361" s="1" t="str">
        <f>"Так"</f>
        <v>Так</v>
      </c>
    </row>
    <row r="2362" spans="1:10" ht="225" x14ac:dyDescent="0.25">
      <c r="A2362" s="1" t="str">
        <f>"2415-2020/27"</f>
        <v>2415-2020/27</v>
      </c>
      <c r="B2362" s="1" t="str">
        <f t="shared" si="424"/>
        <v>18.05.2020</v>
      </c>
      <c r="C2362" s="1" t="str">
        <f t="shared" si="418"/>
        <v>Закрито</v>
      </c>
      <c r="D2362" s="1" t="s">
        <v>1</v>
      </c>
      <c r="E2362" s="1" t="str">
        <f>"Будівництво"</f>
        <v>Будівництво</v>
      </c>
      <c r="F236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362" s="1" t="str">
        <f>"30"</f>
        <v>30</v>
      </c>
      <c r="H2362" s="1" t="str">
        <f>"Результат"</f>
        <v>Результат</v>
      </c>
      <c r="I2362" s="1" t="str">
        <f>"Позитивний"</f>
        <v>Позитивний</v>
      </c>
      <c r="J2362" s="1" t="str">
        <f>"Ні"</f>
        <v>Ні</v>
      </c>
    </row>
    <row r="2363" spans="1:10" ht="225" x14ac:dyDescent="0.25">
      <c r="A2363" s="1" t="str">
        <f>"2414-2020/27"</f>
        <v>2414-2020/27</v>
      </c>
      <c r="B2363" s="1" t="str">
        <f t="shared" si="424"/>
        <v>18.05.2020</v>
      </c>
      <c r="C2363" s="1" t="str">
        <f t="shared" si="418"/>
        <v>Закрито</v>
      </c>
      <c r="D2363" s="1" t="s">
        <v>1</v>
      </c>
      <c r="E2363" s="1" t="str">
        <f>"Будівництво"</f>
        <v>Будівництво</v>
      </c>
      <c r="F236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363" s="1" t="str">
        <f>"30"</f>
        <v>30</v>
      </c>
      <c r="H2363" s="1" t="str">
        <f>"Результат"</f>
        <v>Результат</v>
      </c>
      <c r="I2363" s="1" t="str">
        <f>"Позитивний"</f>
        <v>Позитивний</v>
      </c>
      <c r="J2363" s="1" t="str">
        <f>"Ні"</f>
        <v>Ні</v>
      </c>
    </row>
    <row r="2364" spans="1:10" ht="135" x14ac:dyDescent="0.25">
      <c r="A2364" s="1" t="str">
        <f>"2418-2020/27"</f>
        <v>2418-2020/27</v>
      </c>
      <c r="B2364" s="1" t="str">
        <f t="shared" si="424"/>
        <v>18.05.2020</v>
      </c>
      <c r="C2364" s="1" t="str">
        <f t="shared" si="418"/>
        <v>Закрито</v>
      </c>
      <c r="D236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64" s="1" t="str">
        <f>"Земельні питання"</f>
        <v>Земельні питання</v>
      </c>
      <c r="F23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64" s="1" t="str">
        <f>"1"</f>
        <v>1</v>
      </c>
      <c r="H2364" s="1" t="str">
        <f>"Результат"</f>
        <v>Результат</v>
      </c>
      <c r="I2364" s="1" t="str">
        <f>"Позитивний"</f>
        <v>Позитивний</v>
      </c>
      <c r="J2364" s="1" t="str">
        <f>"Так"</f>
        <v>Так</v>
      </c>
    </row>
    <row r="2365" spans="1:10" ht="45" x14ac:dyDescent="0.25">
      <c r="A2365" s="1" t="str">
        <f>"2407-2020/27"</f>
        <v>2407-2020/27</v>
      </c>
      <c r="B2365" s="1" t="str">
        <f t="shared" si="424"/>
        <v>18.05.2020</v>
      </c>
      <c r="C2365" s="1" t="str">
        <f t="shared" si="418"/>
        <v>Закрито</v>
      </c>
      <c r="D2365" s="1" t="str">
        <f>"Реєстрація місця проживання особи"</f>
        <v>Реєстрація місця проживання особи</v>
      </c>
      <c r="E2365" s="1" t="str">
        <f>"Реєстрація місця проживання"</f>
        <v>Реєстрація місця проживання</v>
      </c>
      <c r="F2365" s="1" t="str">
        <f>"Відділ реєстрації Новокаховської міської ради"</f>
        <v>Відділ реєстрації Новокаховської міської ради</v>
      </c>
      <c r="G2365" s="1" t="str">
        <f>"1"</f>
        <v>1</v>
      </c>
      <c r="H2365" s="1" t="str">
        <f>"Результат"</f>
        <v>Результат</v>
      </c>
      <c r="I2365" s="1" t="str">
        <f>"Позитивний"</f>
        <v>Позитивний</v>
      </c>
      <c r="J2365" s="1" t="str">
        <f>"Так"</f>
        <v>Так</v>
      </c>
    </row>
    <row r="2366" spans="1:10" ht="135" x14ac:dyDescent="0.25">
      <c r="A2366" s="1" t="str">
        <f>"2394-2020/27"</f>
        <v>2394-2020/27</v>
      </c>
      <c r="B2366" s="1" t="str">
        <f t="shared" si="424"/>
        <v>18.05.2020</v>
      </c>
      <c r="C2366" s="1" t="str">
        <f t="shared" si="418"/>
        <v>Закрито</v>
      </c>
      <c r="D23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366" s="1" t="str">
        <f>"Земельні питання"</f>
        <v>Земельні питання</v>
      </c>
      <c r="F23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66" s="1" t="str">
        <f>"3"</f>
        <v>3</v>
      </c>
      <c r="H2366" s="1" t="str">
        <f>"Результат"</f>
        <v>Результат</v>
      </c>
      <c r="I2366" s="1" t="str">
        <f>"Позитивний"</f>
        <v>Позитивний</v>
      </c>
      <c r="J2366" s="1" t="str">
        <f>"Ні"</f>
        <v>Ні</v>
      </c>
    </row>
    <row r="2367" spans="1:10" ht="135" x14ac:dyDescent="0.25">
      <c r="A2367" s="1" t="str">
        <f>"2398-2020/27"</f>
        <v>2398-2020/27</v>
      </c>
      <c r="B2367" s="1" t="str">
        <f t="shared" si="424"/>
        <v>18.05.2020</v>
      </c>
      <c r="C2367" s="1" t="str">
        <f t="shared" si="418"/>
        <v>Закрито</v>
      </c>
      <c r="D236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67" s="1" t="str">
        <f>"Земельні питання"</f>
        <v>Земельні питання</v>
      </c>
      <c r="F23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67" s="1" t="str">
        <f>"1"</f>
        <v>1</v>
      </c>
      <c r="H2367" s="1" t="str">
        <f>"Результат"</f>
        <v>Результат</v>
      </c>
      <c r="I2367" s="1" t="str">
        <f>"Позитивний"</f>
        <v>Позитивний</v>
      </c>
      <c r="J2367" s="1" t="str">
        <f>"Так"</f>
        <v>Так</v>
      </c>
    </row>
    <row r="2368" spans="1:10" ht="45" x14ac:dyDescent="0.25">
      <c r="A2368" s="1" t="str">
        <f>"2412-2020/27"</f>
        <v>2412-2020/27</v>
      </c>
      <c r="B2368" s="1" t="str">
        <f t="shared" si="424"/>
        <v>18.05.2020</v>
      </c>
      <c r="C2368" s="1" t="str">
        <f t="shared" si="418"/>
        <v>Закрито</v>
      </c>
      <c r="D2368" s="1" t="str">
        <f>"Зняття з реєстрації місця проживання"</f>
        <v>Зняття з реєстрації місця проживання</v>
      </c>
      <c r="E2368" s="1" t="str">
        <f>"Реєстрація місця проживання"</f>
        <v>Реєстрація місця проживання</v>
      </c>
      <c r="F2368" s="1" t="str">
        <f>"Відділ реєстрації Новокаховської міської ради"</f>
        <v>Відділ реєстрації Новокаховської міської ради</v>
      </c>
      <c r="G2368" s="1" t="str">
        <f>"1"</f>
        <v>1</v>
      </c>
      <c r="H2368" s="1" t="str">
        <f>"Результат"</f>
        <v>Результат</v>
      </c>
      <c r="I2368" s="1" t="str">
        <f>"Позитивний"</f>
        <v>Позитивний</v>
      </c>
      <c r="J2368" s="1" t="str">
        <f>"Так"</f>
        <v>Так</v>
      </c>
    </row>
    <row r="2369" spans="1:10" ht="135" x14ac:dyDescent="0.25">
      <c r="A2369" s="1" t="str">
        <f>"2421-2020/27"</f>
        <v>2421-2020/27</v>
      </c>
      <c r="B2369" s="1" t="str">
        <f t="shared" si="424"/>
        <v>18.05.2020</v>
      </c>
      <c r="C2369" s="1" t="str">
        <f t="shared" si="418"/>
        <v>Закрито</v>
      </c>
      <c r="D236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69" s="1" t="str">
        <f>"Земельні питання"</f>
        <v>Земельні питання</v>
      </c>
      <c r="F23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69" s="1" t="str">
        <f>"14"</f>
        <v>14</v>
      </c>
      <c r="H2369" s="1" t="str">
        <f>"Результат"</f>
        <v>Результат</v>
      </c>
      <c r="I2369" s="1" t="str">
        <f>"Позитивний"</f>
        <v>Позитивний</v>
      </c>
      <c r="J2369" s="1" t="str">
        <f>"Ні"</f>
        <v>Ні</v>
      </c>
    </row>
    <row r="2370" spans="1:10" ht="45" x14ac:dyDescent="0.25">
      <c r="A2370" s="1" t="str">
        <f>"2406-2020/27"</f>
        <v>2406-2020/27</v>
      </c>
      <c r="B2370" s="1" t="str">
        <f t="shared" si="424"/>
        <v>18.05.2020</v>
      </c>
      <c r="C2370" s="1" t="str">
        <f t="shared" si="418"/>
        <v>Закрито</v>
      </c>
      <c r="D2370" s="1" t="str">
        <f>"Реєстрація місця проживання особи"</f>
        <v>Реєстрація місця проживання особи</v>
      </c>
      <c r="E2370" s="1" t="str">
        <f>"Реєстрація місця проживання"</f>
        <v>Реєстрація місця проживання</v>
      </c>
      <c r="F2370" s="1" t="str">
        <f>"Відділ реєстрації Новокаховської міської ради"</f>
        <v>Відділ реєстрації Новокаховської міської ради</v>
      </c>
      <c r="G2370" s="1" t="str">
        <f>"1"</f>
        <v>1</v>
      </c>
      <c r="H2370" s="1" t="str">
        <f>"Результат"</f>
        <v>Результат</v>
      </c>
      <c r="I2370" s="1" t="str">
        <f>"Позитивний"</f>
        <v>Позитивний</v>
      </c>
      <c r="J2370" s="1" t="str">
        <f>"Так"</f>
        <v>Так</v>
      </c>
    </row>
    <row r="2371" spans="1:10" ht="45" x14ac:dyDescent="0.25">
      <c r="A2371" s="1" t="str">
        <f>"2408-2020/27"</f>
        <v>2408-2020/27</v>
      </c>
      <c r="B2371" s="1" t="str">
        <f t="shared" si="424"/>
        <v>18.05.2020</v>
      </c>
      <c r="C2371" s="1" t="str">
        <f t="shared" ref="C2371:C2434" si="425">"Закрито"</f>
        <v>Закрито</v>
      </c>
      <c r="D2371" s="1" t="str">
        <f>"Зняття з реєстрації місця проживання"</f>
        <v>Зняття з реєстрації місця проживання</v>
      </c>
      <c r="E2371" s="1" t="str">
        <f>"Реєстрація місця проживання"</f>
        <v>Реєстрація місця проживання</v>
      </c>
      <c r="F2371" s="1" t="str">
        <f>"Відділ реєстрації Новокаховської міської ради"</f>
        <v>Відділ реєстрації Новокаховської міської ради</v>
      </c>
      <c r="G2371" s="1" t="str">
        <f>"1"</f>
        <v>1</v>
      </c>
      <c r="H2371" s="1" t="str">
        <f>"Результат"</f>
        <v>Результат</v>
      </c>
      <c r="I2371" s="1" t="str">
        <f>"Позитивний"</f>
        <v>Позитивний</v>
      </c>
      <c r="J2371" s="1" t="str">
        <f>"Так"</f>
        <v>Так</v>
      </c>
    </row>
    <row r="2372" spans="1:10" ht="135" x14ac:dyDescent="0.25">
      <c r="A2372" s="1" t="str">
        <f>"2404-2020/27"</f>
        <v>2404-2020/27</v>
      </c>
      <c r="B2372" s="1" t="str">
        <f t="shared" si="424"/>
        <v>18.05.2020</v>
      </c>
      <c r="C2372" s="1" t="str">
        <f t="shared" si="425"/>
        <v>Закрито</v>
      </c>
      <c r="D237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72" s="1" t="str">
        <f>"Земельні питання"</f>
        <v>Земельні питання</v>
      </c>
      <c r="F23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72" s="1" t="str">
        <f>"1"</f>
        <v>1</v>
      </c>
      <c r="H2372" s="1" t="str">
        <f>"Результат"</f>
        <v>Результат</v>
      </c>
      <c r="I2372" s="1" t="str">
        <f>"Позитивний"</f>
        <v>Позитивний</v>
      </c>
      <c r="J2372" s="1" t="str">
        <f>"Так"</f>
        <v>Так</v>
      </c>
    </row>
    <row r="2373" spans="1:10" ht="225" x14ac:dyDescent="0.25">
      <c r="A2373" s="1" t="str">
        <f>"2416-2020/27"</f>
        <v>2416-2020/27</v>
      </c>
      <c r="B2373" s="1" t="str">
        <f t="shared" si="424"/>
        <v>18.05.2020</v>
      </c>
      <c r="C2373" s="1" t="str">
        <f t="shared" si="425"/>
        <v>Закрито</v>
      </c>
      <c r="D2373" s="1" t="s">
        <v>1</v>
      </c>
      <c r="E2373" s="1" t="str">
        <f>"Будівництво"</f>
        <v>Будівництво</v>
      </c>
      <c r="F237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373" s="1" t="str">
        <f>"30"</f>
        <v>30</v>
      </c>
      <c r="H2373" s="1" t="str">
        <f>"Результат"</f>
        <v>Результат</v>
      </c>
      <c r="I2373" s="1" t="str">
        <f>"Позитивний"</f>
        <v>Позитивний</v>
      </c>
      <c r="J2373" s="1" t="str">
        <f>"Ні"</f>
        <v>Ні</v>
      </c>
    </row>
    <row r="2374" spans="1:10" ht="135" x14ac:dyDescent="0.25">
      <c r="A2374" s="1" t="str">
        <f>"2402-2020/27"</f>
        <v>2402-2020/27</v>
      </c>
      <c r="B2374" s="1" t="str">
        <f t="shared" si="424"/>
        <v>18.05.2020</v>
      </c>
      <c r="C2374" s="1" t="str">
        <f t="shared" si="425"/>
        <v>Закрито</v>
      </c>
      <c r="D237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74" s="1" t="str">
        <f>"Земельні питання"</f>
        <v>Земельні питання</v>
      </c>
      <c r="F23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74" s="1" t="str">
        <f>"1"</f>
        <v>1</v>
      </c>
      <c r="H2374" s="1" t="str">
        <f>"Результат"</f>
        <v>Результат</v>
      </c>
      <c r="I2374" s="1" t="str">
        <f>"Позитивний"</f>
        <v>Позитивний</v>
      </c>
      <c r="J2374" s="1" t="str">
        <f>"Так"</f>
        <v>Так</v>
      </c>
    </row>
    <row r="2375" spans="1:10" ht="135" x14ac:dyDescent="0.25">
      <c r="A2375" s="1" t="str">
        <f>"2401-2020/27"</f>
        <v>2401-2020/27</v>
      </c>
      <c r="B2375" s="1" t="str">
        <f t="shared" si="424"/>
        <v>18.05.2020</v>
      </c>
      <c r="C2375" s="1" t="str">
        <f t="shared" si="425"/>
        <v>Закрито</v>
      </c>
      <c r="D237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75" s="1" t="str">
        <f>"Земельні питання"</f>
        <v>Земельні питання</v>
      </c>
      <c r="F23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75" s="1" t="str">
        <f>"1"</f>
        <v>1</v>
      </c>
      <c r="H2375" s="1" t="str">
        <f>"Результат"</f>
        <v>Результат</v>
      </c>
      <c r="I2375" s="1" t="str">
        <f>"Позитивний"</f>
        <v>Позитивний</v>
      </c>
      <c r="J2375" s="1" t="str">
        <f>"Так"</f>
        <v>Так</v>
      </c>
    </row>
    <row r="2376" spans="1:10" ht="45" x14ac:dyDescent="0.25">
      <c r="A2376" s="1" t="str">
        <f>"2396-2020/27"</f>
        <v>2396-2020/27</v>
      </c>
      <c r="B2376" s="1" t="str">
        <f t="shared" si="424"/>
        <v>18.05.2020</v>
      </c>
      <c r="C2376" s="1" t="str">
        <f t="shared" si="425"/>
        <v>Закрито</v>
      </c>
      <c r="D2376" s="1" t="str">
        <f>"Зняття з реєстрації місця проживання"</f>
        <v>Зняття з реєстрації місця проживання</v>
      </c>
      <c r="E2376" s="1" t="str">
        <f>"Реєстрація місця проживання"</f>
        <v>Реєстрація місця проживання</v>
      </c>
      <c r="F2376" s="1" t="str">
        <f>"Відділ реєстрації Новокаховської міської ради"</f>
        <v>Відділ реєстрації Новокаховської міської ради</v>
      </c>
      <c r="G2376" s="1" t="str">
        <f>"1"</f>
        <v>1</v>
      </c>
      <c r="H2376" s="1" t="str">
        <f>"Результат"</f>
        <v>Результат</v>
      </c>
      <c r="I2376" s="1" t="str">
        <f>"Позитивний"</f>
        <v>Позитивний</v>
      </c>
      <c r="J2376" s="1" t="str">
        <f>"Так"</f>
        <v>Так</v>
      </c>
    </row>
    <row r="2377" spans="1:10" ht="135" x14ac:dyDescent="0.25">
      <c r="A2377" s="1" t="str">
        <f>"2409-2020/27"</f>
        <v>2409-2020/27</v>
      </c>
      <c r="B2377" s="1" t="str">
        <f t="shared" si="424"/>
        <v>18.05.2020</v>
      </c>
      <c r="C2377" s="1" t="str">
        <f t="shared" si="425"/>
        <v>Закрито</v>
      </c>
      <c r="D237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77" s="1" t="str">
        <f>"Земельні питання"</f>
        <v>Земельні питання</v>
      </c>
      <c r="F23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77" s="1" t="str">
        <f>"14"</f>
        <v>14</v>
      </c>
      <c r="H2377" s="1" t="str">
        <f>"Результат"</f>
        <v>Результат</v>
      </c>
      <c r="I2377" s="1" t="str">
        <f>"Позитивний"</f>
        <v>Позитивний</v>
      </c>
      <c r="J2377" s="1" t="str">
        <f>"Ні"</f>
        <v>Ні</v>
      </c>
    </row>
    <row r="2378" spans="1:10" ht="45" x14ac:dyDescent="0.25">
      <c r="A2378" s="1" t="str">
        <f>"2395-2020/27"</f>
        <v>2395-2020/27</v>
      </c>
      <c r="B2378" s="1" t="str">
        <f t="shared" si="424"/>
        <v>18.05.2020</v>
      </c>
      <c r="C2378" s="1" t="str">
        <f t="shared" si="425"/>
        <v>Закрито</v>
      </c>
      <c r="D2378" s="1" t="str">
        <f>"Зняття з реєстрації місця проживання"</f>
        <v>Зняття з реєстрації місця проживання</v>
      </c>
      <c r="E2378" s="1" t="str">
        <f>"Реєстрація місця проживання"</f>
        <v>Реєстрація місця проживання</v>
      </c>
      <c r="F2378" s="1" t="str">
        <f>"Відділ реєстрації Новокаховської міської ради"</f>
        <v>Відділ реєстрації Новокаховської міської ради</v>
      </c>
      <c r="G2378" s="1" t="str">
        <f>"1"</f>
        <v>1</v>
      </c>
      <c r="H2378" s="1" t="str">
        <f>"Результат"</f>
        <v>Результат</v>
      </c>
      <c r="I2378" s="1" t="str">
        <f>"Позитивний"</f>
        <v>Позитивний</v>
      </c>
      <c r="J2378" s="1" t="str">
        <f>"Так"</f>
        <v>Так</v>
      </c>
    </row>
    <row r="2379" spans="1:10" ht="225" x14ac:dyDescent="0.25">
      <c r="A2379" s="1" t="str">
        <f>"2417-2020/27"</f>
        <v>2417-2020/27</v>
      </c>
      <c r="B2379" s="1" t="str">
        <f t="shared" si="424"/>
        <v>18.05.2020</v>
      </c>
      <c r="C2379" s="1" t="str">
        <f t="shared" si="425"/>
        <v>Закрито</v>
      </c>
      <c r="D2379" s="1" t="s">
        <v>0</v>
      </c>
      <c r="E2379" s="1" t="str">
        <f>"Будівництво"</f>
        <v>Будівництво</v>
      </c>
      <c r="F237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379" s="1" t="str">
        <f>"10"</f>
        <v>10</v>
      </c>
      <c r="H2379" s="1" t="str">
        <f>"Результат"</f>
        <v>Результат</v>
      </c>
      <c r="I2379" s="1" t="str">
        <f>"Позитивний"</f>
        <v>Позитивний</v>
      </c>
      <c r="J2379" s="1" t="str">
        <f>"Ні"</f>
        <v>Ні</v>
      </c>
    </row>
    <row r="2380" spans="1:10" ht="135" x14ac:dyDescent="0.25">
      <c r="A2380" s="1" t="str">
        <f>"2420-2020/27"</f>
        <v>2420-2020/27</v>
      </c>
      <c r="B2380" s="1" t="str">
        <f t="shared" si="424"/>
        <v>18.05.2020</v>
      </c>
      <c r="C2380" s="1" t="str">
        <f t="shared" si="425"/>
        <v>Закрито</v>
      </c>
      <c r="D238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80" s="1" t="str">
        <f>"Земельні питання"</f>
        <v>Земельні питання</v>
      </c>
      <c r="F23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80" s="1" t="str">
        <f>"14"</f>
        <v>14</v>
      </c>
      <c r="H2380" s="1" t="str">
        <f>"Результат"</f>
        <v>Результат</v>
      </c>
      <c r="I2380" s="1" t="str">
        <f>"Позитивний"</f>
        <v>Позитивний</v>
      </c>
      <c r="J2380" s="1" t="str">
        <f>"Ні"</f>
        <v>Ні</v>
      </c>
    </row>
    <row r="2381" spans="1:10" ht="135" x14ac:dyDescent="0.25">
      <c r="A2381" s="1" t="str">
        <f>"2433-2020/27"</f>
        <v>2433-2020/27</v>
      </c>
      <c r="B2381" s="1" t="str">
        <f t="shared" ref="B2381:B2416" si="426">"19.05.2020"</f>
        <v>19.05.2020</v>
      </c>
      <c r="C2381" s="1" t="str">
        <f t="shared" si="425"/>
        <v>Закрито</v>
      </c>
      <c r="D238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81" s="1" t="str">
        <f>"Земельні питання"</f>
        <v>Земельні питання</v>
      </c>
      <c r="F23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81" s="1" t="str">
        <f>"1"</f>
        <v>1</v>
      </c>
      <c r="H2381" s="1" t="str">
        <f>"Результат"</f>
        <v>Результат</v>
      </c>
      <c r="I2381" s="1" t="str">
        <f>"Позитивний"</f>
        <v>Позитивний</v>
      </c>
      <c r="J2381" s="1" t="str">
        <f>"Так"</f>
        <v>Так</v>
      </c>
    </row>
    <row r="2382" spans="1:10" ht="135" x14ac:dyDescent="0.25">
      <c r="A2382" s="1" t="str">
        <f>"2457-2020/27"</f>
        <v>2457-2020/27</v>
      </c>
      <c r="B2382" s="1" t="str">
        <f t="shared" si="426"/>
        <v>19.05.2020</v>
      </c>
      <c r="C2382" s="1" t="str">
        <f t="shared" si="425"/>
        <v>Закрито</v>
      </c>
      <c r="D238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82" s="1" t="str">
        <f>"Земельні питання"</f>
        <v>Земельні питання</v>
      </c>
      <c r="F23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82" s="1" t="str">
        <f>"1"</f>
        <v>1</v>
      </c>
      <c r="H2382" s="1" t="str">
        <f>"Результат"</f>
        <v>Результат</v>
      </c>
      <c r="I2382" s="1" t="str">
        <f>"Позитивний"</f>
        <v>Позитивний</v>
      </c>
      <c r="J2382" s="1" t="str">
        <f>"Так"</f>
        <v>Так</v>
      </c>
    </row>
    <row r="2383" spans="1:10" ht="90" x14ac:dyDescent="0.25">
      <c r="A2383" s="1" t="str">
        <f>"2445-2020/27"</f>
        <v>2445-2020/27</v>
      </c>
      <c r="B2383" s="1" t="str">
        <f t="shared" si="426"/>
        <v>19.05.2020</v>
      </c>
      <c r="C2383" s="1" t="str">
        <f t="shared" si="425"/>
        <v>Закрито</v>
      </c>
      <c r="D238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83" s="1" t="str">
        <f>"Інші послуги"</f>
        <v>Інші послуги</v>
      </c>
      <c r="F238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83" s="1" t="str">
        <f>"5"</f>
        <v>5</v>
      </c>
      <c r="H2383" s="1" t="str">
        <f>"Результат"</f>
        <v>Результат</v>
      </c>
      <c r="I2383" s="1" t="str">
        <f>"Позитивний"</f>
        <v>Позитивний</v>
      </c>
      <c r="J2383" s="1" t="str">
        <f>"Ні"</f>
        <v>Ні</v>
      </c>
    </row>
    <row r="2384" spans="1:10" ht="45" x14ac:dyDescent="0.25">
      <c r="A2384" s="1" t="str">
        <f>"2427-2020/27"</f>
        <v>2427-2020/27</v>
      </c>
      <c r="B2384" s="1" t="str">
        <f t="shared" si="426"/>
        <v>19.05.2020</v>
      </c>
      <c r="C2384" s="1" t="str">
        <f t="shared" si="425"/>
        <v>Закрито</v>
      </c>
      <c r="D2384" s="1" t="str">
        <f>"Реєстрація місця проживання особи"</f>
        <v>Реєстрація місця проживання особи</v>
      </c>
      <c r="E2384" s="1" t="str">
        <f>"Реєстрація місця проживання"</f>
        <v>Реєстрація місця проживання</v>
      </c>
      <c r="F2384" s="1" t="str">
        <f>"Відділ реєстрації Новокаховської міської ради"</f>
        <v>Відділ реєстрації Новокаховської міської ради</v>
      </c>
      <c r="G2384" s="1" t="str">
        <f>"1"</f>
        <v>1</v>
      </c>
      <c r="H2384" s="1" t="str">
        <f>"Результат"</f>
        <v>Результат</v>
      </c>
      <c r="I2384" s="1" t="str">
        <f>"Позитивний"</f>
        <v>Позитивний</v>
      </c>
      <c r="J2384" s="1" t="str">
        <f>"Так"</f>
        <v>Так</v>
      </c>
    </row>
    <row r="2385" spans="1:10" ht="45" x14ac:dyDescent="0.25">
      <c r="A2385" s="1" t="str">
        <f>"2428-2020/27"</f>
        <v>2428-2020/27</v>
      </c>
      <c r="B2385" s="1" t="str">
        <f t="shared" si="426"/>
        <v>19.05.2020</v>
      </c>
      <c r="C2385" s="1" t="str">
        <f t="shared" si="425"/>
        <v>Закрито</v>
      </c>
      <c r="D2385" s="1" t="str">
        <f>"Реєстрація місця проживання особи"</f>
        <v>Реєстрація місця проживання особи</v>
      </c>
      <c r="E2385" s="1" t="str">
        <f>"Реєстрація місця проживання"</f>
        <v>Реєстрація місця проживання</v>
      </c>
      <c r="F2385" s="1" t="str">
        <f>"Відділ реєстрації Новокаховської міської ради"</f>
        <v>Відділ реєстрації Новокаховської міської ради</v>
      </c>
      <c r="G2385" s="1" t="str">
        <f>"1"</f>
        <v>1</v>
      </c>
      <c r="H2385" s="1" t="str">
        <f>"Результат"</f>
        <v>Результат</v>
      </c>
      <c r="I2385" s="1" t="str">
        <f>"Позитивний"</f>
        <v>Позитивний</v>
      </c>
      <c r="J2385" s="1" t="str">
        <f>"Так"</f>
        <v>Так</v>
      </c>
    </row>
    <row r="2386" spans="1:10" ht="45" x14ac:dyDescent="0.25">
      <c r="A2386" s="1" t="str">
        <f>"2435-2020/27"</f>
        <v>2435-2020/27</v>
      </c>
      <c r="B2386" s="1" t="str">
        <f t="shared" si="426"/>
        <v>19.05.2020</v>
      </c>
      <c r="C2386" s="1" t="str">
        <f t="shared" si="425"/>
        <v>Закрито</v>
      </c>
      <c r="D2386" s="1" t="str">
        <f>"Реєстрація місця проживання особи"</f>
        <v>Реєстрація місця проживання особи</v>
      </c>
      <c r="E2386" s="1" t="str">
        <f>"Реєстрація місця проживання"</f>
        <v>Реєстрація місця проживання</v>
      </c>
      <c r="F2386" s="1" t="str">
        <f>"Відділ реєстрації Новокаховської міської ради"</f>
        <v>Відділ реєстрації Новокаховської міської ради</v>
      </c>
      <c r="G2386" s="1" t="str">
        <f>"1"</f>
        <v>1</v>
      </c>
      <c r="H2386" s="1" t="str">
        <f>"Результат"</f>
        <v>Результат</v>
      </c>
      <c r="I2386" s="1" t="str">
        <f>"Позитивний"</f>
        <v>Позитивний</v>
      </c>
      <c r="J2386" s="1" t="str">
        <f>"Так"</f>
        <v>Так</v>
      </c>
    </row>
    <row r="2387" spans="1:10" ht="90" x14ac:dyDescent="0.25">
      <c r="A2387" s="1" t="str">
        <f>"2446-2020/27"</f>
        <v>2446-2020/27</v>
      </c>
      <c r="B2387" s="1" t="str">
        <f t="shared" si="426"/>
        <v>19.05.2020</v>
      </c>
      <c r="C2387" s="1" t="str">
        <f t="shared" si="425"/>
        <v>Закрито</v>
      </c>
      <c r="D238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87" s="1" t="str">
        <f>"Інші послуги"</f>
        <v>Інші послуги</v>
      </c>
      <c r="F238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87" s="1" t="str">
        <f>"5"</f>
        <v>5</v>
      </c>
      <c r="H2387" s="1" t="str">
        <f>"Результат"</f>
        <v>Результат</v>
      </c>
      <c r="I2387" s="1" t="str">
        <f>"Позитивний"</f>
        <v>Позитивний</v>
      </c>
      <c r="J2387" s="1" t="str">
        <f>"Ні"</f>
        <v>Ні</v>
      </c>
    </row>
    <row r="2388" spans="1:10" ht="45" x14ac:dyDescent="0.25">
      <c r="A2388" s="1" t="str">
        <f>"2450-2020/27"</f>
        <v>2450-2020/27</v>
      </c>
      <c r="B2388" s="1" t="str">
        <f t="shared" si="426"/>
        <v>19.05.2020</v>
      </c>
      <c r="C2388" s="1" t="str">
        <f t="shared" si="425"/>
        <v>Закрито</v>
      </c>
      <c r="D2388" s="1" t="str">
        <f>"Зняття з реєстрації місця проживання"</f>
        <v>Зняття з реєстрації місця проживання</v>
      </c>
      <c r="E2388" s="1" t="str">
        <f>"Реєстрація місця проживання"</f>
        <v>Реєстрація місця проживання</v>
      </c>
      <c r="F2388" s="1" t="str">
        <f>"Відділ реєстрації Новокаховської міської ради"</f>
        <v>Відділ реєстрації Новокаховської міської ради</v>
      </c>
      <c r="G2388" s="1" t="str">
        <f t="shared" ref="G2388:G2394" si="427">"1"</f>
        <v>1</v>
      </c>
      <c r="H2388" s="1" t="str">
        <f>"Результат"</f>
        <v>Результат</v>
      </c>
      <c r="I2388" s="1" t="str">
        <f>"Позитивний"</f>
        <v>Позитивний</v>
      </c>
      <c r="J2388" s="1" t="str">
        <f t="shared" ref="J2388:J2394" si="428">"Так"</f>
        <v>Так</v>
      </c>
    </row>
    <row r="2389" spans="1:10" ht="135" x14ac:dyDescent="0.25">
      <c r="A2389" s="1" t="str">
        <f>"2432-2020/27"</f>
        <v>2432-2020/27</v>
      </c>
      <c r="B2389" s="1" t="str">
        <f t="shared" si="426"/>
        <v>19.05.2020</v>
      </c>
      <c r="C2389" s="1" t="str">
        <f t="shared" si="425"/>
        <v>Закрито</v>
      </c>
      <c r="D23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89" s="1" t="str">
        <f>"Земельні питання"</f>
        <v>Земельні питання</v>
      </c>
      <c r="F23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89" s="1" t="str">
        <f t="shared" si="427"/>
        <v>1</v>
      </c>
      <c r="H2389" s="1" t="str">
        <f>"Результат"</f>
        <v>Результат</v>
      </c>
      <c r="I2389" s="1" t="str">
        <f>"Позитивний"</f>
        <v>Позитивний</v>
      </c>
      <c r="J2389" s="1" t="str">
        <f t="shared" si="428"/>
        <v>Так</v>
      </c>
    </row>
    <row r="2390" spans="1:10" ht="135" x14ac:dyDescent="0.25">
      <c r="A2390" s="1" t="str">
        <f>"2440-2020/27"</f>
        <v>2440-2020/27</v>
      </c>
      <c r="B2390" s="1" t="str">
        <f t="shared" si="426"/>
        <v>19.05.2020</v>
      </c>
      <c r="C2390" s="1" t="str">
        <f t="shared" si="425"/>
        <v>Закрито</v>
      </c>
      <c r="D23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90" s="1" t="str">
        <f>"Земельні питання"</f>
        <v>Земельні питання</v>
      </c>
      <c r="F23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90" s="1" t="str">
        <f t="shared" si="427"/>
        <v>1</v>
      </c>
      <c r="H2390" s="1" t="str">
        <f>"Результат"</f>
        <v>Результат</v>
      </c>
      <c r="I2390" s="1" t="str">
        <f>"Позитивний"</f>
        <v>Позитивний</v>
      </c>
      <c r="J2390" s="1" t="str">
        <f t="shared" si="428"/>
        <v>Так</v>
      </c>
    </row>
    <row r="2391" spans="1:10" ht="135" x14ac:dyDescent="0.25">
      <c r="A2391" s="1" t="str">
        <f>"2434-2020/27"</f>
        <v>2434-2020/27</v>
      </c>
      <c r="B2391" s="1" t="str">
        <f t="shared" si="426"/>
        <v>19.05.2020</v>
      </c>
      <c r="C2391" s="1" t="str">
        <f t="shared" si="425"/>
        <v>Закрито</v>
      </c>
      <c r="D23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91" s="1" t="str">
        <f>"Земельні питання"</f>
        <v>Земельні питання</v>
      </c>
      <c r="F23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91" s="1" t="str">
        <f t="shared" si="427"/>
        <v>1</v>
      </c>
      <c r="H2391" s="1" t="str">
        <f>"Результат"</f>
        <v>Результат</v>
      </c>
      <c r="I2391" s="1" t="str">
        <f>"Позитивний"</f>
        <v>Позитивний</v>
      </c>
      <c r="J2391" s="1" t="str">
        <f t="shared" si="428"/>
        <v>Так</v>
      </c>
    </row>
    <row r="2392" spans="1:10" ht="45" x14ac:dyDescent="0.25">
      <c r="A2392" s="1" t="str">
        <f>"2436-2020/27"</f>
        <v>2436-2020/27</v>
      </c>
      <c r="B2392" s="1" t="str">
        <f t="shared" si="426"/>
        <v>19.05.2020</v>
      </c>
      <c r="C2392" s="1" t="str">
        <f t="shared" si="425"/>
        <v>Закрито</v>
      </c>
      <c r="D2392" s="1" t="str">
        <f>"Реєстрація місця проживання особи"</f>
        <v>Реєстрація місця проживання особи</v>
      </c>
      <c r="E2392" s="1" t="str">
        <f>"Реєстрація місця проживання"</f>
        <v>Реєстрація місця проживання</v>
      </c>
      <c r="F2392" s="1" t="str">
        <f>"Відділ реєстрації Новокаховської міської ради"</f>
        <v>Відділ реєстрації Новокаховської міської ради</v>
      </c>
      <c r="G2392" s="1" t="str">
        <f t="shared" si="427"/>
        <v>1</v>
      </c>
      <c r="H2392" s="1" t="str">
        <f>"Результат"</f>
        <v>Результат</v>
      </c>
      <c r="I2392" s="1" t="str">
        <f>"Позитивний"</f>
        <v>Позитивний</v>
      </c>
      <c r="J2392" s="1" t="str">
        <f t="shared" si="428"/>
        <v>Так</v>
      </c>
    </row>
    <row r="2393" spans="1:10" ht="45" x14ac:dyDescent="0.25">
      <c r="A2393" s="1" t="str">
        <f>"2438-2020/27"</f>
        <v>2438-2020/27</v>
      </c>
      <c r="B2393" s="1" t="str">
        <f t="shared" si="426"/>
        <v>19.05.2020</v>
      </c>
      <c r="C2393" s="1" t="str">
        <f t="shared" si="425"/>
        <v>Закрито</v>
      </c>
      <c r="D2393" s="1" t="str">
        <f>"Зняття з реєстрації місця проживання"</f>
        <v>Зняття з реєстрації місця проживання</v>
      </c>
      <c r="E2393" s="1" t="str">
        <f>"Реєстрація місця проживання"</f>
        <v>Реєстрація місця проживання</v>
      </c>
      <c r="F2393" s="1" t="str">
        <f>"Відділ реєстрації Новокаховської міської ради"</f>
        <v>Відділ реєстрації Новокаховської міської ради</v>
      </c>
      <c r="G2393" s="1" t="str">
        <f t="shared" si="427"/>
        <v>1</v>
      </c>
      <c r="H2393" s="1" t="str">
        <f>"Результат"</f>
        <v>Результат</v>
      </c>
      <c r="I2393" s="1" t="str">
        <f>"Позитивний"</f>
        <v>Позитивний</v>
      </c>
      <c r="J2393" s="1" t="str">
        <f t="shared" si="428"/>
        <v>Так</v>
      </c>
    </row>
    <row r="2394" spans="1:10" ht="135" x14ac:dyDescent="0.25">
      <c r="A2394" s="1" t="str">
        <f>"2437-2020/27"</f>
        <v>2437-2020/27</v>
      </c>
      <c r="B2394" s="1" t="str">
        <f t="shared" si="426"/>
        <v>19.05.2020</v>
      </c>
      <c r="C2394" s="1" t="str">
        <f t="shared" si="425"/>
        <v>Закрито</v>
      </c>
      <c r="D239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394" s="1" t="str">
        <f>"Земельні питання"</f>
        <v>Земельні питання</v>
      </c>
      <c r="F23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94" s="1" t="str">
        <f t="shared" si="427"/>
        <v>1</v>
      </c>
      <c r="H2394" s="1" t="str">
        <f>"Результат"</f>
        <v>Результат</v>
      </c>
      <c r="I2394" s="1" t="str">
        <f>"Позитивний"</f>
        <v>Позитивний</v>
      </c>
      <c r="J2394" s="1" t="str">
        <f t="shared" si="428"/>
        <v>Так</v>
      </c>
    </row>
    <row r="2395" spans="1:10" ht="135" x14ac:dyDescent="0.25">
      <c r="A2395" s="1" t="str">
        <f>"2442-2020/27"</f>
        <v>2442-2020/27</v>
      </c>
      <c r="B2395" s="1" t="str">
        <f t="shared" si="426"/>
        <v>19.05.2020</v>
      </c>
      <c r="C2395" s="1" t="str">
        <f t="shared" si="425"/>
        <v>Закрито</v>
      </c>
      <c r="D239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395" s="1" t="str">
        <f>"Земельні питання"</f>
        <v>Земельні питання</v>
      </c>
      <c r="F23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95" s="1" t="str">
        <f>"14"</f>
        <v>14</v>
      </c>
      <c r="H2395" s="1" t="str">
        <f>"Результат"</f>
        <v>Результат</v>
      </c>
      <c r="I2395" s="1" t="str">
        <f>"Позитивний"</f>
        <v>Позитивний</v>
      </c>
      <c r="J2395" s="1" t="str">
        <f>"Ні"</f>
        <v>Ні</v>
      </c>
    </row>
    <row r="2396" spans="1:10" ht="45" x14ac:dyDescent="0.25">
      <c r="A2396" s="1" t="str">
        <f>"2451-2020/27"</f>
        <v>2451-2020/27</v>
      </c>
      <c r="B2396" s="1" t="str">
        <f t="shared" si="426"/>
        <v>19.05.2020</v>
      </c>
      <c r="C2396" s="1" t="str">
        <f t="shared" si="425"/>
        <v>Закрито</v>
      </c>
      <c r="D2396" s="1" t="str">
        <f>"Зняття з реєстрації місця проживання"</f>
        <v>Зняття з реєстрації місця проживання</v>
      </c>
      <c r="E2396" s="1" t="str">
        <f>"Реєстрація місця проживання"</f>
        <v>Реєстрація місця проживання</v>
      </c>
      <c r="F2396" s="1" t="str">
        <f>"Відділ реєстрації Новокаховської міської ради"</f>
        <v>Відділ реєстрації Новокаховської міської ради</v>
      </c>
      <c r="G2396" s="1" t="str">
        <f>"1"</f>
        <v>1</v>
      </c>
      <c r="H2396" s="1" t="str">
        <f>"Результат"</f>
        <v>Результат</v>
      </c>
      <c r="I2396" s="1" t="str">
        <f>"Позитивний"</f>
        <v>Позитивний</v>
      </c>
      <c r="J2396" s="1" t="str">
        <f>"Так"</f>
        <v>Так</v>
      </c>
    </row>
    <row r="2397" spans="1:10" ht="45" x14ac:dyDescent="0.25">
      <c r="A2397" s="1" t="str">
        <f>"2422-2020/27"</f>
        <v>2422-2020/27</v>
      </c>
      <c r="B2397" s="1" t="str">
        <f t="shared" si="426"/>
        <v>19.05.2020</v>
      </c>
      <c r="C2397" s="1" t="str">
        <f t="shared" si="425"/>
        <v>Закрито</v>
      </c>
      <c r="D2397" s="1" t="str">
        <f>"Реєстрація місця проживання особи"</f>
        <v>Реєстрація місця проживання особи</v>
      </c>
      <c r="E2397" s="1" t="str">
        <f>"Реєстрація місця проживання"</f>
        <v>Реєстрація місця проживання</v>
      </c>
      <c r="F2397" s="1" t="str">
        <f>"Відділ реєстрації Новокаховської міської ради"</f>
        <v>Відділ реєстрації Новокаховської міської ради</v>
      </c>
      <c r="G2397" s="1" t="str">
        <f>"1"</f>
        <v>1</v>
      </c>
      <c r="H2397" s="1" t="str">
        <f>"Результат"</f>
        <v>Результат</v>
      </c>
      <c r="I2397" s="1" t="str">
        <f>"Позитивний"</f>
        <v>Позитивний</v>
      </c>
      <c r="J2397" s="1" t="str">
        <f>"Так"</f>
        <v>Так</v>
      </c>
    </row>
    <row r="2398" spans="1:10" ht="90" x14ac:dyDescent="0.25">
      <c r="A2398" s="1" t="str">
        <f>"2431-2020/27"</f>
        <v>2431-2020/27</v>
      </c>
      <c r="B2398" s="1" t="str">
        <f t="shared" si="426"/>
        <v>19.05.2020</v>
      </c>
      <c r="C2398" s="1" t="str">
        <f t="shared" si="425"/>
        <v>Закрито</v>
      </c>
      <c r="D239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398" s="1" t="str">
        <f>"Інші послуги"</f>
        <v>Інші послуги</v>
      </c>
      <c r="F239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398" s="1" t="str">
        <f>"5"</f>
        <v>5</v>
      </c>
      <c r="H2398" s="1" t="str">
        <f>"Результат"</f>
        <v>Результат</v>
      </c>
      <c r="I2398" s="1" t="str">
        <f>"Позитивний"</f>
        <v>Позитивний</v>
      </c>
      <c r="J2398" s="1" t="str">
        <f>"Ні"</f>
        <v>Ні</v>
      </c>
    </row>
    <row r="2399" spans="1:10" ht="135" x14ac:dyDescent="0.25">
      <c r="A2399" s="1" t="str">
        <f>"2455-2020/27"</f>
        <v>2455-2020/27</v>
      </c>
      <c r="B2399" s="1" t="str">
        <f t="shared" si="426"/>
        <v>19.05.2020</v>
      </c>
      <c r="C2399" s="1" t="str">
        <f t="shared" si="425"/>
        <v>Закрито</v>
      </c>
      <c r="D239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399" s="1" t="str">
        <f>"Земельні питання"</f>
        <v>Земельні питання</v>
      </c>
      <c r="F23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399" s="1" t="str">
        <f>"14"</f>
        <v>14</v>
      </c>
      <c r="H2399" s="1" t="str">
        <f>"Результат"</f>
        <v>Результат</v>
      </c>
      <c r="I2399" s="1" t="str">
        <f>"Позитивний"</f>
        <v>Позитивний</v>
      </c>
      <c r="J2399" s="1" t="str">
        <f>"Ні"</f>
        <v>Ні</v>
      </c>
    </row>
    <row r="2400" spans="1:10" ht="45" x14ac:dyDescent="0.25">
      <c r="A2400" s="1" t="str">
        <f>"2429-2020/27"</f>
        <v>2429-2020/27</v>
      </c>
      <c r="B2400" s="1" t="str">
        <f t="shared" si="426"/>
        <v>19.05.2020</v>
      </c>
      <c r="C2400" s="1" t="str">
        <f t="shared" si="425"/>
        <v>Закрито</v>
      </c>
      <c r="D2400" s="1" t="str">
        <f>"Реєстрація місця проживання особи"</f>
        <v>Реєстрація місця проживання особи</v>
      </c>
      <c r="E2400" s="1" t="str">
        <f>"Реєстрація місця проживання"</f>
        <v>Реєстрація місця проживання</v>
      </c>
      <c r="F2400" s="1" t="str">
        <f>"Відділ реєстрації Новокаховської міської ради"</f>
        <v>Відділ реєстрації Новокаховської міської ради</v>
      </c>
      <c r="G2400" s="1" t="str">
        <f>"1"</f>
        <v>1</v>
      </c>
      <c r="H2400" s="1" t="str">
        <f>"Результат"</f>
        <v>Результат</v>
      </c>
      <c r="I2400" s="1" t="str">
        <f>"Позитивний"</f>
        <v>Позитивний</v>
      </c>
      <c r="J2400" s="1" t="str">
        <f>"Так"</f>
        <v>Так</v>
      </c>
    </row>
    <row r="2401" spans="1:10" ht="135" x14ac:dyDescent="0.25">
      <c r="A2401" s="1" t="str">
        <f>"2456-2020/27"</f>
        <v>2456-2020/27</v>
      </c>
      <c r="B2401" s="1" t="str">
        <f t="shared" si="426"/>
        <v>19.05.2020</v>
      </c>
      <c r="C2401" s="1" t="str">
        <f t="shared" si="425"/>
        <v>Закрито</v>
      </c>
      <c r="D240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01" s="1" t="str">
        <f>"Земельні питання"</f>
        <v>Земельні питання</v>
      </c>
      <c r="F24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01" s="1" t="str">
        <f>"1"</f>
        <v>1</v>
      </c>
      <c r="H2401" s="1" t="str">
        <f>"Результат"</f>
        <v>Результат</v>
      </c>
      <c r="I2401" s="1" t="str">
        <f>"Позитивний"</f>
        <v>Позитивний</v>
      </c>
      <c r="J2401" s="1" t="str">
        <f>"Так"</f>
        <v>Так</v>
      </c>
    </row>
    <row r="2402" spans="1:10" ht="45" x14ac:dyDescent="0.25">
      <c r="A2402" s="1" t="str">
        <f>"2444-2020/27"</f>
        <v>2444-2020/27</v>
      </c>
      <c r="B2402" s="1" t="str">
        <f t="shared" si="426"/>
        <v>19.05.2020</v>
      </c>
      <c r="C2402" s="1" t="str">
        <f t="shared" si="425"/>
        <v>Закрито</v>
      </c>
      <c r="D2402" s="1" t="str">
        <f>"Реєстрація місця проживання особи"</f>
        <v>Реєстрація місця проживання особи</v>
      </c>
      <c r="E2402" s="1" t="str">
        <f>"Реєстрація місця проживання"</f>
        <v>Реєстрація місця проживання</v>
      </c>
      <c r="F2402" s="1" t="str">
        <f>"Відділ реєстрації Новокаховської міської ради"</f>
        <v>Відділ реєстрації Новокаховської міської ради</v>
      </c>
      <c r="G2402" s="1" t="str">
        <f>"1"</f>
        <v>1</v>
      </c>
      <c r="H2402" s="1" t="str">
        <f>"Результат"</f>
        <v>Результат</v>
      </c>
      <c r="I2402" s="1" t="str">
        <f>"Позитивний"</f>
        <v>Позитивний</v>
      </c>
      <c r="J2402" s="1" t="str">
        <f>"Так"</f>
        <v>Так</v>
      </c>
    </row>
    <row r="2403" spans="1:10" ht="135" x14ac:dyDescent="0.25">
      <c r="A2403" s="1" t="str">
        <f>"2453-2020/27"</f>
        <v>2453-2020/27</v>
      </c>
      <c r="B2403" s="1" t="str">
        <f t="shared" si="426"/>
        <v>19.05.2020</v>
      </c>
      <c r="C2403" s="1" t="str">
        <f t="shared" si="425"/>
        <v>Закрито</v>
      </c>
      <c r="D240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03" s="1" t="str">
        <f>"Земельні питання"</f>
        <v>Земельні питання</v>
      </c>
      <c r="F24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03" s="1" t="str">
        <f>"1"</f>
        <v>1</v>
      </c>
      <c r="H2403" s="1" t="str">
        <f>"Результат"</f>
        <v>Результат</v>
      </c>
      <c r="I2403" s="1" t="str">
        <f>"Позитивний"</f>
        <v>Позитивний</v>
      </c>
      <c r="J2403" s="1" t="str">
        <f>"Так"</f>
        <v>Так</v>
      </c>
    </row>
    <row r="2404" spans="1:10" ht="45" x14ac:dyDescent="0.25">
      <c r="A2404" s="1" t="str">
        <f>"2426-2020/27"</f>
        <v>2426-2020/27</v>
      </c>
      <c r="B2404" s="1" t="str">
        <f t="shared" si="426"/>
        <v>19.05.2020</v>
      </c>
      <c r="C2404" s="1" t="str">
        <f t="shared" si="425"/>
        <v>Закрито</v>
      </c>
      <c r="D2404" s="1" t="str">
        <f>"Зняття з реєстрації місця проживання"</f>
        <v>Зняття з реєстрації місця проживання</v>
      </c>
      <c r="E2404" s="1" t="str">
        <f>"Реєстрація місця проживання"</f>
        <v>Реєстрація місця проживання</v>
      </c>
      <c r="F2404" s="1" t="str">
        <f>"Відділ реєстрації Новокаховської міської ради"</f>
        <v>Відділ реєстрації Новокаховської міської ради</v>
      </c>
      <c r="G2404" s="1" t="str">
        <f>"1"</f>
        <v>1</v>
      </c>
      <c r="H2404" s="1" t="str">
        <f>"Результат"</f>
        <v>Результат</v>
      </c>
      <c r="I2404" s="1" t="str">
        <f>"Позитивний"</f>
        <v>Позитивний</v>
      </c>
      <c r="J2404" s="1" t="str">
        <f>"Так"</f>
        <v>Так</v>
      </c>
    </row>
    <row r="2405" spans="1:10" ht="135" x14ac:dyDescent="0.25">
      <c r="A2405" s="1" t="str">
        <f>"2454-2020/27"</f>
        <v>2454-2020/27</v>
      </c>
      <c r="B2405" s="1" t="str">
        <f t="shared" si="426"/>
        <v>19.05.2020</v>
      </c>
      <c r="C2405" s="1" t="str">
        <f t="shared" si="425"/>
        <v>Закрито</v>
      </c>
      <c r="D240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05" s="1" t="str">
        <f>"Земельні питання"</f>
        <v>Земельні питання</v>
      </c>
      <c r="F24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05" s="1" t="str">
        <f>"14"</f>
        <v>14</v>
      </c>
      <c r="H2405" s="1" t="str">
        <f>"Результат"</f>
        <v>Результат</v>
      </c>
      <c r="I2405" s="1" t="str">
        <f>"Позитивний"</f>
        <v>Позитивний</v>
      </c>
      <c r="J2405" s="1" t="str">
        <f>"Ні"</f>
        <v>Ні</v>
      </c>
    </row>
    <row r="2406" spans="1:10" ht="45" x14ac:dyDescent="0.25">
      <c r="A2406" s="1" t="str">
        <f>"2443-2020/27"</f>
        <v>2443-2020/27</v>
      </c>
      <c r="B2406" s="1" t="str">
        <f t="shared" si="426"/>
        <v>19.05.2020</v>
      </c>
      <c r="C2406" s="1" t="str">
        <f t="shared" si="425"/>
        <v>Закрито</v>
      </c>
      <c r="D2406" s="1" t="str">
        <f>"Зняття з реєстрації місця проживання"</f>
        <v>Зняття з реєстрації місця проживання</v>
      </c>
      <c r="E2406" s="1" t="str">
        <f t="shared" ref="E2406:E2411" si="429">"Реєстрація місця проживання"</f>
        <v>Реєстрація місця проживання</v>
      </c>
      <c r="F2406" s="1" t="str">
        <f t="shared" ref="F2406:F2411" si="430">"Відділ реєстрації Новокаховської міської ради"</f>
        <v>Відділ реєстрації Новокаховської міської ради</v>
      </c>
      <c r="G2406" s="1" t="str">
        <f t="shared" ref="G2406:G2411" si="431">"1"</f>
        <v>1</v>
      </c>
      <c r="H2406" s="1" t="str">
        <f>"Результат"</f>
        <v>Результат</v>
      </c>
      <c r="I2406" s="1" t="str">
        <f>"Позитивний"</f>
        <v>Позитивний</v>
      </c>
      <c r="J2406" s="1" t="str">
        <f t="shared" ref="J2406:J2411" si="432">"Так"</f>
        <v>Так</v>
      </c>
    </row>
    <row r="2407" spans="1:10" ht="45" x14ac:dyDescent="0.25">
      <c r="A2407" s="1" t="str">
        <f>"2430-2020/27"</f>
        <v>2430-2020/27</v>
      </c>
      <c r="B2407" s="1" t="str">
        <f t="shared" si="426"/>
        <v>19.05.2020</v>
      </c>
      <c r="C2407" s="1" t="str">
        <f t="shared" si="425"/>
        <v>Закрито</v>
      </c>
      <c r="D2407" s="1" t="str">
        <f>"Реєстрація місця проживання особи"</f>
        <v>Реєстрація місця проживання особи</v>
      </c>
      <c r="E2407" s="1" t="str">
        <f t="shared" si="429"/>
        <v>Реєстрація місця проживання</v>
      </c>
      <c r="F2407" s="1" t="str">
        <f t="shared" si="430"/>
        <v>Відділ реєстрації Новокаховської міської ради</v>
      </c>
      <c r="G2407" s="1" t="str">
        <f t="shared" si="431"/>
        <v>1</v>
      </c>
      <c r="H2407" s="1" t="str">
        <f>"Результат"</f>
        <v>Результат</v>
      </c>
      <c r="I2407" s="1" t="str">
        <f>"Позитивний"</f>
        <v>Позитивний</v>
      </c>
      <c r="J2407" s="1" t="str">
        <f t="shared" si="432"/>
        <v>Так</v>
      </c>
    </row>
    <row r="2408" spans="1:10" ht="45" x14ac:dyDescent="0.25">
      <c r="A2408" s="1" t="str">
        <f>"2439-2020/27"</f>
        <v>2439-2020/27</v>
      </c>
      <c r="B2408" s="1" t="str">
        <f t="shared" si="426"/>
        <v>19.05.2020</v>
      </c>
      <c r="C2408" s="1" t="str">
        <f t="shared" si="425"/>
        <v>Закрито</v>
      </c>
      <c r="D2408" s="1" t="str">
        <f>"Реєстрація місця проживання особи"</f>
        <v>Реєстрація місця проживання особи</v>
      </c>
      <c r="E2408" s="1" t="str">
        <f t="shared" si="429"/>
        <v>Реєстрація місця проживання</v>
      </c>
      <c r="F2408" s="1" t="str">
        <f t="shared" si="430"/>
        <v>Відділ реєстрації Новокаховської міської ради</v>
      </c>
      <c r="G2408" s="1" t="str">
        <f t="shared" si="431"/>
        <v>1</v>
      </c>
      <c r="H2408" s="1" t="str">
        <f>"Результат"</f>
        <v>Результат</v>
      </c>
      <c r="I2408" s="1" t="str">
        <f>"Позитивний"</f>
        <v>Позитивний</v>
      </c>
      <c r="J2408" s="1" t="str">
        <f t="shared" si="432"/>
        <v>Так</v>
      </c>
    </row>
    <row r="2409" spans="1:10" ht="45" x14ac:dyDescent="0.25">
      <c r="A2409" s="1" t="str">
        <f>"2424-2020/27"</f>
        <v>2424-2020/27</v>
      </c>
      <c r="B2409" s="1" t="str">
        <f t="shared" si="426"/>
        <v>19.05.2020</v>
      </c>
      <c r="C2409" s="1" t="str">
        <f t="shared" si="425"/>
        <v>Закрито</v>
      </c>
      <c r="D2409" s="1" t="str">
        <f>"Реєстрація місця проживання особи"</f>
        <v>Реєстрація місця проживання особи</v>
      </c>
      <c r="E2409" s="1" t="str">
        <f t="shared" si="429"/>
        <v>Реєстрація місця проживання</v>
      </c>
      <c r="F2409" s="1" t="str">
        <f t="shared" si="430"/>
        <v>Відділ реєстрації Новокаховської міської ради</v>
      </c>
      <c r="G2409" s="1" t="str">
        <f t="shared" si="431"/>
        <v>1</v>
      </c>
      <c r="H2409" s="1" t="str">
        <f>"Результат"</f>
        <v>Результат</v>
      </c>
      <c r="I2409" s="1" t="str">
        <f>"Позитивний"</f>
        <v>Позитивний</v>
      </c>
      <c r="J2409" s="1" t="str">
        <f t="shared" si="432"/>
        <v>Так</v>
      </c>
    </row>
    <row r="2410" spans="1:10" ht="45" x14ac:dyDescent="0.25">
      <c r="A2410" s="1" t="str">
        <f>"2425-2020/27"</f>
        <v>2425-2020/27</v>
      </c>
      <c r="B2410" s="1" t="str">
        <f t="shared" si="426"/>
        <v>19.05.2020</v>
      </c>
      <c r="C2410" s="1" t="str">
        <f t="shared" si="425"/>
        <v>Закрито</v>
      </c>
      <c r="D2410" s="1" t="str">
        <f>"Реєстрація місця проживання особи"</f>
        <v>Реєстрація місця проживання особи</v>
      </c>
      <c r="E2410" s="1" t="str">
        <f t="shared" si="429"/>
        <v>Реєстрація місця проживання</v>
      </c>
      <c r="F2410" s="1" t="str">
        <f t="shared" si="430"/>
        <v>Відділ реєстрації Новокаховської міської ради</v>
      </c>
      <c r="G2410" s="1" t="str">
        <f t="shared" si="431"/>
        <v>1</v>
      </c>
      <c r="H2410" s="1" t="str">
        <f>"Результат"</f>
        <v>Результат</v>
      </c>
      <c r="I2410" s="1" t="str">
        <f>"Позитивний"</f>
        <v>Позитивний</v>
      </c>
      <c r="J2410" s="1" t="str">
        <f t="shared" si="432"/>
        <v>Так</v>
      </c>
    </row>
    <row r="2411" spans="1:10" ht="45" x14ac:dyDescent="0.25">
      <c r="A2411" s="1" t="str">
        <f>"2449-2020/27"</f>
        <v>2449-2020/27</v>
      </c>
      <c r="B2411" s="1" t="str">
        <f t="shared" si="426"/>
        <v>19.05.2020</v>
      </c>
      <c r="C2411" s="1" t="str">
        <f t="shared" si="425"/>
        <v>Закрито</v>
      </c>
      <c r="D2411" s="1" t="str">
        <f>"Реєстрація місця проживання особи"</f>
        <v>Реєстрація місця проживання особи</v>
      </c>
      <c r="E2411" s="1" t="str">
        <f t="shared" si="429"/>
        <v>Реєстрація місця проживання</v>
      </c>
      <c r="F2411" s="1" t="str">
        <f t="shared" si="430"/>
        <v>Відділ реєстрації Новокаховської міської ради</v>
      </c>
      <c r="G2411" s="1" t="str">
        <f t="shared" si="431"/>
        <v>1</v>
      </c>
      <c r="H2411" s="1" t="str">
        <f>"Результат"</f>
        <v>Результат</v>
      </c>
      <c r="I2411" s="1" t="str">
        <f>"Позитивний"</f>
        <v>Позитивний</v>
      </c>
      <c r="J2411" s="1" t="str">
        <f t="shared" si="432"/>
        <v>Так</v>
      </c>
    </row>
    <row r="2412" spans="1:10" ht="135" x14ac:dyDescent="0.25">
      <c r="A2412" s="1" t="str">
        <f>"2448-2020/27"</f>
        <v>2448-2020/27</v>
      </c>
      <c r="B2412" s="1" t="str">
        <f t="shared" si="426"/>
        <v>19.05.2020</v>
      </c>
      <c r="C2412" s="1" t="str">
        <f t="shared" si="425"/>
        <v>Закрито</v>
      </c>
      <c r="D24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12" s="1" t="str">
        <f>"Земельні питання"</f>
        <v>Земельні питання</v>
      </c>
      <c r="F24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12" s="1" t="str">
        <f>"3"</f>
        <v>3</v>
      </c>
      <c r="H2412" s="1" t="str">
        <f>"Результат"</f>
        <v>Результат</v>
      </c>
      <c r="I2412" s="1" t="str">
        <f>"Позитивний"</f>
        <v>Позитивний</v>
      </c>
      <c r="J2412" s="1" t="str">
        <f>"Ні"</f>
        <v>Ні</v>
      </c>
    </row>
    <row r="2413" spans="1:10" ht="45" x14ac:dyDescent="0.25">
      <c r="A2413" s="1" t="str">
        <f>"2452-2020/27"</f>
        <v>2452-2020/27</v>
      </c>
      <c r="B2413" s="1" t="str">
        <f t="shared" si="426"/>
        <v>19.05.2020</v>
      </c>
      <c r="C2413" s="1" t="str">
        <f t="shared" si="425"/>
        <v>Закрито</v>
      </c>
      <c r="D2413" s="1" t="str">
        <f>"Зняття з реєстрації місця проживання"</f>
        <v>Зняття з реєстрації місця проживання</v>
      </c>
      <c r="E2413" s="1" t="str">
        <f>"Реєстрація місця проживання"</f>
        <v>Реєстрація місця проживання</v>
      </c>
      <c r="F2413" s="1" t="str">
        <f>"Відділ реєстрації Новокаховської міської ради"</f>
        <v>Відділ реєстрації Новокаховської міської ради</v>
      </c>
      <c r="G2413" s="1" t="str">
        <f>"1"</f>
        <v>1</v>
      </c>
      <c r="H2413" s="1" t="str">
        <f>"Результат"</f>
        <v>Результат</v>
      </c>
      <c r="I2413" s="1" t="str">
        <f>"Позитивний"</f>
        <v>Позитивний</v>
      </c>
      <c r="J2413" s="1" t="str">
        <f>"Так"</f>
        <v>Так</v>
      </c>
    </row>
    <row r="2414" spans="1:10" ht="45" x14ac:dyDescent="0.25">
      <c r="A2414" s="1" t="str">
        <f>"2423-2020/27"</f>
        <v>2423-2020/27</v>
      </c>
      <c r="B2414" s="1" t="str">
        <f t="shared" si="426"/>
        <v>19.05.2020</v>
      </c>
      <c r="C2414" s="1" t="str">
        <f t="shared" si="425"/>
        <v>Закрито</v>
      </c>
      <c r="D2414" s="1" t="str">
        <f>"Реєстрація місця проживання особи"</f>
        <v>Реєстрація місця проживання особи</v>
      </c>
      <c r="E2414" s="1" t="str">
        <f>"Реєстрація місця проживання"</f>
        <v>Реєстрація місця проживання</v>
      </c>
      <c r="F2414" s="1" t="str">
        <f>"Відділ реєстрації Новокаховської міської ради"</f>
        <v>Відділ реєстрації Новокаховської міської ради</v>
      </c>
      <c r="G2414" s="1" t="str">
        <f>"1"</f>
        <v>1</v>
      </c>
      <c r="H2414" s="1" t="str">
        <f>"Результат"</f>
        <v>Результат</v>
      </c>
      <c r="I2414" s="1" t="str">
        <f>"Позитивний"</f>
        <v>Позитивний</v>
      </c>
      <c r="J2414" s="1" t="str">
        <f>"Так"</f>
        <v>Так</v>
      </c>
    </row>
    <row r="2415" spans="1:10" ht="135" x14ac:dyDescent="0.25">
      <c r="A2415" s="1" t="str">
        <f>"2441-2020/27"</f>
        <v>2441-2020/27</v>
      </c>
      <c r="B2415" s="1" t="str">
        <f t="shared" si="426"/>
        <v>19.05.2020</v>
      </c>
      <c r="C2415" s="1" t="str">
        <f t="shared" si="425"/>
        <v>Закрито</v>
      </c>
      <c r="D24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15" s="1" t="str">
        <f>"Земельні питання"</f>
        <v>Земельні питання</v>
      </c>
      <c r="F24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15" s="1" t="str">
        <f>"1"</f>
        <v>1</v>
      </c>
      <c r="H2415" s="1" t="str">
        <f>"Результат"</f>
        <v>Результат</v>
      </c>
      <c r="I2415" s="1" t="str">
        <f>"Позитивний"</f>
        <v>Позитивний</v>
      </c>
      <c r="J2415" s="1" t="str">
        <f>"Так"</f>
        <v>Так</v>
      </c>
    </row>
    <row r="2416" spans="1:10" ht="90" x14ac:dyDescent="0.25">
      <c r="A2416" s="1" t="str">
        <f>"2447-2020/27"</f>
        <v>2447-2020/27</v>
      </c>
      <c r="B2416" s="1" t="str">
        <f t="shared" si="426"/>
        <v>19.05.2020</v>
      </c>
      <c r="C2416" s="1" t="str">
        <f t="shared" si="425"/>
        <v>Закрито</v>
      </c>
      <c r="D241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16" s="1" t="str">
        <f>"Інші послуги"</f>
        <v>Інші послуги</v>
      </c>
      <c r="F241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16" s="1" t="str">
        <f>"5"</f>
        <v>5</v>
      </c>
      <c r="H2416" s="1" t="str">
        <f>"Результат"</f>
        <v>Результат</v>
      </c>
      <c r="I2416" s="1" t="str">
        <f>"Позитивний"</f>
        <v>Позитивний</v>
      </c>
      <c r="J2416" s="1" t="str">
        <f>"Ні"</f>
        <v>Ні</v>
      </c>
    </row>
    <row r="2417" spans="1:10" ht="135" x14ac:dyDescent="0.25">
      <c r="A2417" s="1" t="str">
        <f>"2461-2020/27"</f>
        <v>2461-2020/27</v>
      </c>
      <c r="B2417" s="1" t="str">
        <f t="shared" ref="B2417:B2438" si="433">"20.05.2020"</f>
        <v>20.05.2020</v>
      </c>
      <c r="C2417" s="1" t="str">
        <f t="shared" si="425"/>
        <v>Закрито</v>
      </c>
      <c r="D241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417" s="1" t="str">
        <f>"Земельні питання"</f>
        <v>Земельні питання</v>
      </c>
      <c r="F24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17" s="1" t="str">
        <f>"14"</f>
        <v>14</v>
      </c>
      <c r="H2417" s="1" t="str">
        <f>"Результат"</f>
        <v>Результат</v>
      </c>
      <c r="I2417" s="1" t="str">
        <f>"Позитивний"</f>
        <v>Позитивний</v>
      </c>
      <c r="J2417" s="1" t="str">
        <f>"Ні"</f>
        <v>Ні</v>
      </c>
    </row>
    <row r="2418" spans="1:10" ht="135" x14ac:dyDescent="0.25">
      <c r="A2418" s="1" t="str">
        <f>"2478-2020/27"</f>
        <v>2478-2020/27</v>
      </c>
      <c r="B2418" s="1" t="str">
        <f t="shared" si="433"/>
        <v>20.05.2020</v>
      </c>
      <c r="C2418" s="1" t="str">
        <f t="shared" si="425"/>
        <v>Закрито</v>
      </c>
      <c r="D241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18" s="1" t="str">
        <f>"Земельні питання"</f>
        <v>Земельні питання</v>
      </c>
      <c r="F24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18" s="1" t="str">
        <f>"1"</f>
        <v>1</v>
      </c>
      <c r="H2418" s="1" t="str">
        <f>"Результат"</f>
        <v>Результат</v>
      </c>
      <c r="I2418" s="1" t="str">
        <f>"Позитивний"</f>
        <v>Позитивний</v>
      </c>
      <c r="J2418" s="1" t="str">
        <f>"Так"</f>
        <v>Так</v>
      </c>
    </row>
    <row r="2419" spans="1:10" ht="90" x14ac:dyDescent="0.25">
      <c r="A2419" s="1" t="str">
        <f>"2470-2020/27"</f>
        <v>2470-2020/27</v>
      </c>
      <c r="B2419" s="1" t="str">
        <f t="shared" si="433"/>
        <v>20.05.2020</v>
      </c>
      <c r="C2419" s="1" t="str">
        <f t="shared" si="425"/>
        <v>Закрито</v>
      </c>
      <c r="D241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19" s="1" t="str">
        <f>"Інші послуги"</f>
        <v>Інші послуги</v>
      </c>
      <c r="F241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19" s="1" t="str">
        <f>"5"</f>
        <v>5</v>
      </c>
      <c r="H2419" s="1" t="str">
        <f>"Результат"</f>
        <v>Результат</v>
      </c>
      <c r="I2419" s="1" t="str">
        <f>"Позитивний"</f>
        <v>Позитивний</v>
      </c>
      <c r="J2419" s="1" t="str">
        <f>"Ні"</f>
        <v>Ні</v>
      </c>
    </row>
    <row r="2420" spans="1:10" ht="135" x14ac:dyDescent="0.25">
      <c r="A2420" s="1" t="str">
        <f>"2472-2020/27"</f>
        <v>2472-2020/27</v>
      </c>
      <c r="B2420" s="1" t="str">
        <f t="shared" si="433"/>
        <v>20.05.2020</v>
      </c>
      <c r="C2420" s="1" t="str">
        <f t="shared" si="425"/>
        <v>Закрито</v>
      </c>
      <c r="D242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20" s="1" t="str">
        <f>"Земельні питання"</f>
        <v>Земельні питання</v>
      </c>
      <c r="F242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20" s="1" t="str">
        <f>"14"</f>
        <v>14</v>
      </c>
      <c r="H2420" s="1" t="str">
        <f>"Результат"</f>
        <v>Результат</v>
      </c>
      <c r="I2420" s="1" t="str">
        <f>"Позитивний"</f>
        <v>Позитивний</v>
      </c>
      <c r="J2420" s="1" t="str">
        <f>"Ні"</f>
        <v>Ні</v>
      </c>
    </row>
    <row r="2421" spans="1:10" ht="45" x14ac:dyDescent="0.25">
      <c r="A2421" s="1" t="str">
        <f>"2464-2020/27"</f>
        <v>2464-2020/27</v>
      </c>
      <c r="B2421" s="1" t="str">
        <f t="shared" si="433"/>
        <v>20.05.2020</v>
      </c>
      <c r="C2421" s="1" t="str">
        <f t="shared" si="425"/>
        <v>Закрито</v>
      </c>
      <c r="D2421" s="1" t="str">
        <f>"Зняття з реєстрації місця проживання"</f>
        <v>Зняття з реєстрації місця проживання</v>
      </c>
      <c r="E2421" s="1" t="str">
        <f>"Реєстрація місця проживання"</f>
        <v>Реєстрація місця проживання</v>
      </c>
      <c r="F2421" s="1" t="str">
        <f>"Відділ реєстрації Новокаховської міської ради"</f>
        <v>Відділ реєстрації Новокаховської міської ради</v>
      </c>
      <c r="G2421" s="1" t="str">
        <f>"1"</f>
        <v>1</v>
      </c>
      <c r="H2421" s="1" t="str">
        <f>"Результат"</f>
        <v>Результат</v>
      </c>
      <c r="I2421" s="1" t="str">
        <f>"Позитивний"</f>
        <v>Позитивний</v>
      </c>
      <c r="J2421" s="1" t="str">
        <f>"Так"</f>
        <v>Так</v>
      </c>
    </row>
    <row r="2422" spans="1:10" ht="135" x14ac:dyDescent="0.25">
      <c r="A2422" s="1" t="str">
        <f>"2465-2020/27"</f>
        <v>2465-2020/27</v>
      </c>
      <c r="B2422" s="1" t="str">
        <f t="shared" si="433"/>
        <v>20.05.2020</v>
      </c>
      <c r="C2422" s="1" t="str">
        <f t="shared" si="425"/>
        <v>Закрито</v>
      </c>
      <c r="D2422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422" s="1" t="str">
        <f>"Земельні питання"</f>
        <v>Земельні питання</v>
      </c>
      <c r="F24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22" s="1" t="str">
        <f>"14"</f>
        <v>14</v>
      </c>
      <c r="H2422" s="1" t="str">
        <f>"Результат"</f>
        <v>Результат</v>
      </c>
      <c r="I2422" s="1" t="str">
        <f>"Позитивний"</f>
        <v>Позитивний</v>
      </c>
      <c r="J2422" s="1" t="str">
        <f>"Ні"</f>
        <v>Ні</v>
      </c>
    </row>
    <row r="2423" spans="1:10" ht="45" x14ac:dyDescent="0.25">
      <c r="A2423" s="1" t="str">
        <f>"2458-2020/27"</f>
        <v>2458-2020/27</v>
      </c>
      <c r="B2423" s="1" t="str">
        <f t="shared" si="433"/>
        <v>20.05.2020</v>
      </c>
      <c r="C2423" s="1" t="str">
        <f t="shared" si="425"/>
        <v>Закрито</v>
      </c>
      <c r="D2423" s="1" t="str">
        <f>"Реєстрація місця проживання особи"</f>
        <v>Реєстрація місця проживання особи</v>
      </c>
      <c r="E2423" s="1" t="str">
        <f>"Реєстрація місця проживання"</f>
        <v>Реєстрація місця проживання</v>
      </c>
      <c r="F2423" s="1" t="str">
        <f>"Відділ реєстрації Новокаховської міської ради"</f>
        <v>Відділ реєстрації Новокаховської міської ради</v>
      </c>
      <c r="G2423" s="1" t="str">
        <f>"1"</f>
        <v>1</v>
      </c>
      <c r="H2423" s="1" t="str">
        <f>"Результат"</f>
        <v>Результат</v>
      </c>
      <c r="I2423" s="1" t="str">
        <f>"Позитивний"</f>
        <v>Позитивний</v>
      </c>
      <c r="J2423" s="1" t="str">
        <f>"Так"</f>
        <v>Так</v>
      </c>
    </row>
    <row r="2424" spans="1:10" ht="45" x14ac:dyDescent="0.25">
      <c r="A2424" s="1" t="str">
        <f>"2467-2020/27"</f>
        <v>2467-2020/27</v>
      </c>
      <c r="B2424" s="1" t="str">
        <f t="shared" si="433"/>
        <v>20.05.2020</v>
      </c>
      <c r="C2424" s="1" t="str">
        <f t="shared" si="425"/>
        <v>Закрито</v>
      </c>
      <c r="D2424" s="1" t="str">
        <f>"Реєстрація місця проживання особи"</f>
        <v>Реєстрація місця проживання особи</v>
      </c>
      <c r="E2424" s="1" t="str">
        <f>"Реєстрація місця проживання"</f>
        <v>Реєстрація місця проживання</v>
      </c>
      <c r="F2424" s="1" t="str">
        <f>"Відділ реєстрації Новокаховської міської ради"</f>
        <v>Відділ реєстрації Новокаховської міської ради</v>
      </c>
      <c r="G2424" s="1" t="str">
        <f>"1"</f>
        <v>1</v>
      </c>
      <c r="H2424" s="1" t="str">
        <f>"Результат"</f>
        <v>Результат</v>
      </c>
      <c r="I2424" s="1" t="str">
        <f>"Позитивний"</f>
        <v>Позитивний</v>
      </c>
      <c r="J2424" s="1" t="str">
        <f>"Так"</f>
        <v>Так</v>
      </c>
    </row>
    <row r="2425" spans="1:10" ht="135" x14ac:dyDescent="0.25">
      <c r="A2425" s="1" t="str">
        <f>"2474-2020/27"</f>
        <v>2474-2020/27</v>
      </c>
      <c r="B2425" s="1" t="str">
        <f t="shared" si="433"/>
        <v>20.05.2020</v>
      </c>
      <c r="C2425" s="1" t="str">
        <f t="shared" si="425"/>
        <v>Закрито</v>
      </c>
      <c r="D242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25" s="1" t="str">
        <f>"Земельні питання"</f>
        <v>Земельні питання</v>
      </c>
      <c r="F24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25" s="1" t="str">
        <f>"14"</f>
        <v>14</v>
      </c>
      <c r="H2425" s="1" t="str">
        <f>"Результат"</f>
        <v>Результат</v>
      </c>
      <c r="I2425" s="1" t="str">
        <f>"Позитивний"</f>
        <v>Позитивний</v>
      </c>
      <c r="J2425" s="1" t="str">
        <f>"Ні"</f>
        <v>Ні</v>
      </c>
    </row>
    <row r="2426" spans="1:10" ht="135" x14ac:dyDescent="0.25">
      <c r="A2426" s="1" t="str">
        <f>"2477-2020/27"</f>
        <v>2477-2020/27</v>
      </c>
      <c r="B2426" s="1" t="str">
        <f t="shared" si="433"/>
        <v>20.05.2020</v>
      </c>
      <c r="C2426" s="1" t="str">
        <f t="shared" si="425"/>
        <v>Закрито</v>
      </c>
      <c r="D24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26" s="1" t="str">
        <f>"Земельні питання"</f>
        <v>Земельні питання</v>
      </c>
      <c r="F24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26" s="1" t="str">
        <f>"1"</f>
        <v>1</v>
      </c>
      <c r="H2426" s="1" t="str">
        <f>"Результат"</f>
        <v>Результат</v>
      </c>
      <c r="I2426" s="1" t="str">
        <f>"Позитивний"</f>
        <v>Позитивний</v>
      </c>
      <c r="J2426" s="1" t="str">
        <f>"Так"</f>
        <v>Так</v>
      </c>
    </row>
    <row r="2427" spans="1:10" ht="135" x14ac:dyDescent="0.25">
      <c r="A2427" s="1" t="str">
        <f>"2475-2020/27"</f>
        <v>2475-2020/27</v>
      </c>
      <c r="B2427" s="1" t="str">
        <f t="shared" si="433"/>
        <v>20.05.2020</v>
      </c>
      <c r="C2427" s="1" t="str">
        <f t="shared" si="425"/>
        <v>Закрито</v>
      </c>
      <c r="D242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27" s="1" t="str">
        <f>"Земельні питання"</f>
        <v>Земельні питання</v>
      </c>
      <c r="F24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27" s="1" t="str">
        <f>"14"</f>
        <v>14</v>
      </c>
      <c r="H2427" s="1" t="str">
        <f>"Результат"</f>
        <v>Результат</v>
      </c>
      <c r="I2427" s="1" t="str">
        <f>"Позитивний"</f>
        <v>Позитивний</v>
      </c>
      <c r="J2427" s="1" t="str">
        <f>"Ні"</f>
        <v>Ні</v>
      </c>
    </row>
    <row r="2428" spans="1:10" ht="135" x14ac:dyDescent="0.25">
      <c r="A2428" s="1" t="str">
        <f>"2469-2020/27"</f>
        <v>2469-2020/27</v>
      </c>
      <c r="B2428" s="1" t="str">
        <f t="shared" si="433"/>
        <v>20.05.2020</v>
      </c>
      <c r="C2428" s="1" t="str">
        <f t="shared" si="425"/>
        <v>Закрито</v>
      </c>
      <c r="D242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28" s="1" t="str">
        <f>"Земельні питання"</f>
        <v>Земельні питання</v>
      </c>
      <c r="F24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28" s="1" t="str">
        <f>"3"</f>
        <v>3</v>
      </c>
      <c r="H2428" s="1" t="str">
        <f>"Результат"</f>
        <v>Результат</v>
      </c>
      <c r="I2428" s="1" t="str">
        <f>"Позитивний"</f>
        <v>Позитивний</v>
      </c>
      <c r="J2428" s="1" t="str">
        <f>"Ні"</f>
        <v>Ні</v>
      </c>
    </row>
    <row r="2429" spans="1:10" ht="135" x14ac:dyDescent="0.25">
      <c r="A2429" s="1" t="str">
        <f>"2471-2020/27"</f>
        <v>2471-2020/27</v>
      </c>
      <c r="B2429" s="1" t="str">
        <f t="shared" si="433"/>
        <v>20.05.2020</v>
      </c>
      <c r="C2429" s="1" t="str">
        <f t="shared" si="425"/>
        <v>Закрито</v>
      </c>
      <c r="D2429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29" s="1" t="str">
        <f>"Земельні питання"</f>
        <v>Земельні питання</v>
      </c>
      <c r="F24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29" s="1" t="str">
        <f>"14"</f>
        <v>14</v>
      </c>
      <c r="H2429" s="1" t="str">
        <f>"Результат"</f>
        <v>Результат</v>
      </c>
      <c r="I2429" s="1" t="str">
        <f>"Позитивний"</f>
        <v>Позитивний</v>
      </c>
      <c r="J2429" s="1" t="str">
        <f>"Ні"</f>
        <v>Ні</v>
      </c>
    </row>
    <row r="2430" spans="1:10" ht="45" x14ac:dyDescent="0.25">
      <c r="A2430" s="1" t="str">
        <f>"2463-2020/27"</f>
        <v>2463-2020/27</v>
      </c>
      <c r="B2430" s="1" t="str">
        <f t="shared" si="433"/>
        <v>20.05.2020</v>
      </c>
      <c r="C2430" s="1" t="str">
        <f t="shared" si="425"/>
        <v>Закрито</v>
      </c>
      <c r="D2430" s="1" t="str">
        <f>"Реєстрація місця проживання особи"</f>
        <v>Реєстрація місця проживання особи</v>
      </c>
      <c r="E2430" s="1" t="str">
        <f>"Реєстрація місця проживання"</f>
        <v>Реєстрація місця проживання</v>
      </c>
      <c r="F2430" s="1" t="str">
        <f>"Відділ реєстрації Новокаховської міської ради"</f>
        <v>Відділ реєстрації Новокаховської міської ради</v>
      </c>
      <c r="G2430" s="1" t="str">
        <f>"1"</f>
        <v>1</v>
      </c>
      <c r="H2430" s="1" t="str">
        <f>"Результат"</f>
        <v>Результат</v>
      </c>
      <c r="I2430" s="1" t="str">
        <f>"Позитивний"</f>
        <v>Позитивний</v>
      </c>
      <c r="J2430" s="1" t="str">
        <f>"Так"</f>
        <v>Так</v>
      </c>
    </row>
    <row r="2431" spans="1:10" ht="135" x14ac:dyDescent="0.25">
      <c r="A2431" s="1" t="str">
        <f>"2459-2020/27"</f>
        <v>2459-2020/27</v>
      </c>
      <c r="B2431" s="1" t="str">
        <f t="shared" si="433"/>
        <v>20.05.2020</v>
      </c>
      <c r="C2431" s="1" t="str">
        <f t="shared" si="425"/>
        <v>Закрито</v>
      </c>
      <c r="D243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31" s="1" t="str">
        <f>"Земельні питання"</f>
        <v>Земельні питання</v>
      </c>
      <c r="F24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31" s="1" t="str">
        <f>"1"</f>
        <v>1</v>
      </c>
      <c r="H2431" s="1" t="str">
        <f>"Результат"</f>
        <v>Результат</v>
      </c>
      <c r="I2431" s="1" t="str">
        <f>"Позитивний"</f>
        <v>Позитивний</v>
      </c>
      <c r="J2431" s="1" t="str">
        <f>"Так"</f>
        <v>Так</v>
      </c>
    </row>
    <row r="2432" spans="1:10" ht="120" x14ac:dyDescent="0.25">
      <c r="A2432" s="1" t="str">
        <f>"2479-2020/27"</f>
        <v>2479-2020/27</v>
      </c>
      <c r="B2432" s="1" t="str">
        <f t="shared" si="433"/>
        <v>20.05.2020</v>
      </c>
      <c r="C2432" s="1" t="str">
        <f t="shared" si="425"/>
        <v>Закрито</v>
      </c>
      <c r="D2432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432" s="1" t="str">
        <f>"Будівництво"</f>
        <v>Будівництво</v>
      </c>
      <c r="F243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432" s="1" t="str">
        <f>"10"</f>
        <v>10</v>
      </c>
      <c r="H2432" s="1" t="str">
        <f>"Результат"</f>
        <v>Результат</v>
      </c>
      <c r="I2432" s="1" t="str">
        <f>"Позитивний"</f>
        <v>Позитивний</v>
      </c>
      <c r="J2432" s="1" t="str">
        <f>"Ні"</f>
        <v>Ні</v>
      </c>
    </row>
    <row r="2433" spans="1:10" ht="135" x14ac:dyDescent="0.25">
      <c r="A2433" s="1" t="str">
        <f>"2476-2020/27"</f>
        <v>2476-2020/27</v>
      </c>
      <c r="B2433" s="1" t="str">
        <f t="shared" si="433"/>
        <v>20.05.2020</v>
      </c>
      <c r="C2433" s="1" t="str">
        <f t="shared" si="425"/>
        <v>Закрито</v>
      </c>
      <c r="D24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33" s="1" t="str">
        <f t="shared" ref="E2433:E2438" si="434">"Земельні питання"</f>
        <v>Земельні питання</v>
      </c>
      <c r="F2433" s="1" t="str">
        <f t="shared" ref="F2433:F2438" si="435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33" s="1" t="str">
        <f>"1"</f>
        <v>1</v>
      </c>
      <c r="H2433" s="1" t="str">
        <f>"Результат"</f>
        <v>Результат</v>
      </c>
      <c r="I2433" s="1" t="str">
        <f>"Позитивний"</f>
        <v>Позитивний</v>
      </c>
      <c r="J2433" s="1" t="str">
        <f>"Так"</f>
        <v>Так</v>
      </c>
    </row>
    <row r="2434" spans="1:10" ht="135" x14ac:dyDescent="0.25">
      <c r="A2434" s="1" t="str">
        <f>"2468-2020/27"</f>
        <v>2468-2020/27</v>
      </c>
      <c r="B2434" s="1" t="str">
        <f t="shared" si="433"/>
        <v>20.05.2020</v>
      </c>
      <c r="C2434" s="1" t="str">
        <f t="shared" si="425"/>
        <v>Закрито</v>
      </c>
      <c r="D243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34" s="1" t="str">
        <f t="shared" si="434"/>
        <v>Земельні питання</v>
      </c>
      <c r="F2434" s="1" t="str">
        <f t="shared" si="43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34" s="1" t="str">
        <f>"1"</f>
        <v>1</v>
      </c>
      <c r="H2434" s="1" t="str">
        <f>"Результат"</f>
        <v>Результат</v>
      </c>
      <c r="I2434" s="1" t="str">
        <f>"Позитивний"</f>
        <v>Позитивний</v>
      </c>
      <c r="J2434" s="1" t="str">
        <f>"Так"</f>
        <v>Так</v>
      </c>
    </row>
    <row r="2435" spans="1:10" ht="135" x14ac:dyDescent="0.25">
      <c r="A2435" s="1" t="str">
        <f>"2460-2020/27"</f>
        <v>2460-2020/27</v>
      </c>
      <c r="B2435" s="1" t="str">
        <f t="shared" si="433"/>
        <v>20.05.2020</v>
      </c>
      <c r="C2435" s="1" t="str">
        <f t="shared" ref="C2435:C2440" si="436">"Закрито"</f>
        <v>Закрито</v>
      </c>
      <c r="D243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435" s="1" t="str">
        <f t="shared" si="434"/>
        <v>Земельні питання</v>
      </c>
      <c r="F2435" s="1" t="str">
        <f t="shared" si="43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35" s="1" t="str">
        <f>"14"</f>
        <v>14</v>
      </c>
      <c r="H2435" s="1" t="str">
        <f>"Результат"</f>
        <v>Результат</v>
      </c>
      <c r="I2435" s="1" t="str">
        <f>"Позитивний"</f>
        <v>Позитивний</v>
      </c>
      <c r="J2435" s="1" t="str">
        <f>"Ні"</f>
        <v>Ні</v>
      </c>
    </row>
    <row r="2436" spans="1:10" ht="135" x14ac:dyDescent="0.25">
      <c r="A2436" s="1" t="str">
        <f>"2473-2020/27"</f>
        <v>2473-2020/27</v>
      </c>
      <c r="B2436" s="1" t="str">
        <f t="shared" si="433"/>
        <v>20.05.2020</v>
      </c>
      <c r="C2436" s="1" t="str">
        <f t="shared" si="436"/>
        <v>Закрито</v>
      </c>
      <c r="D243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36" s="1" t="str">
        <f t="shared" si="434"/>
        <v>Земельні питання</v>
      </c>
      <c r="F2436" s="1" t="str">
        <f t="shared" si="43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36" s="1" t="str">
        <f>"14"</f>
        <v>14</v>
      </c>
      <c r="H2436" s="1" t="str">
        <f>"Результат"</f>
        <v>Результат</v>
      </c>
      <c r="I2436" s="1" t="str">
        <f>"Позитивний"</f>
        <v>Позитивний</v>
      </c>
      <c r="J2436" s="1" t="str">
        <f>"Ні"</f>
        <v>Ні</v>
      </c>
    </row>
    <row r="2437" spans="1:10" ht="135" x14ac:dyDescent="0.25">
      <c r="A2437" s="1" t="str">
        <f>"2462-2020/27"</f>
        <v>2462-2020/27</v>
      </c>
      <c r="B2437" s="1" t="str">
        <f t="shared" si="433"/>
        <v>20.05.2020</v>
      </c>
      <c r="C2437" s="1" t="str">
        <f t="shared" si="436"/>
        <v>Закрито</v>
      </c>
      <c r="D24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37" s="1" t="str">
        <f t="shared" si="434"/>
        <v>Земельні питання</v>
      </c>
      <c r="F2437" s="1" t="str">
        <f t="shared" si="43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37" s="1" t="str">
        <f>"1"</f>
        <v>1</v>
      </c>
      <c r="H2437" s="1" t="str">
        <f>"Результат"</f>
        <v>Результат</v>
      </c>
      <c r="I2437" s="1" t="str">
        <f>"Позитивний"</f>
        <v>Позитивний</v>
      </c>
      <c r="J2437" s="1" t="str">
        <f>"Так"</f>
        <v>Так</v>
      </c>
    </row>
    <row r="2438" spans="1:10" ht="135" x14ac:dyDescent="0.25">
      <c r="A2438" s="1" t="str">
        <f>"2466-2020/27"</f>
        <v>2466-2020/27</v>
      </c>
      <c r="B2438" s="1" t="str">
        <f t="shared" si="433"/>
        <v>20.05.2020</v>
      </c>
      <c r="C2438" s="1" t="str">
        <f t="shared" si="436"/>
        <v>Закрито</v>
      </c>
      <c r="D2438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438" s="1" t="str">
        <f t="shared" si="434"/>
        <v>Земельні питання</v>
      </c>
      <c r="F2438" s="1" t="str">
        <f t="shared" si="435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38" s="1" t="str">
        <f>"14"</f>
        <v>14</v>
      </c>
      <c r="H2438" s="1" t="str">
        <f>"Результат"</f>
        <v>Результат</v>
      </c>
      <c r="I2438" s="1" t="str">
        <f>"Позитивний"</f>
        <v>Позитивний</v>
      </c>
      <c r="J2438" s="1" t="str">
        <f>"Ні"</f>
        <v>Ні</v>
      </c>
    </row>
    <row r="2439" spans="1:10" ht="225" x14ac:dyDescent="0.25">
      <c r="A2439" s="1" t="str">
        <f>"2513-2020/27"</f>
        <v>2513-2020/27</v>
      </c>
      <c r="B2439" s="1" t="str">
        <f t="shared" ref="B2439:B2473" si="437">"21.05.2020"</f>
        <v>21.05.2020</v>
      </c>
      <c r="C2439" s="1" t="str">
        <f>"На обробці в адмін. органі"</f>
        <v>На обробці в адмін. органі</v>
      </c>
      <c r="D2439" s="1" t="s">
        <v>1</v>
      </c>
      <c r="E2439" s="1" t="str">
        <f>"Будівництво"</f>
        <v>Будівництво</v>
      </c>
      <c r="F243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439" s="1" t="str">
        <f>"30"</f>
        <v>30</v>
      </c>
      <c r="H2439" s="1" t="str">
        <f>""</f>
        <v/>
      </c>
      <c r="I2439" s="1" t="str">
        <f>""</f>
        <v/>
      </c>
      <c r="J2439" s="1" t="str">
        <f>"Ні"</f>
        <v>Ні</v>
      </c>
    </row>
    <row r="2440" spans="1:10" ht="135" x14ac:dyDescent="0.25">
      <c r="A2440" s="1" t="str">
        <f>"2480-2020/27"</f>
        <v>2480-2020/27</v>
      </c>
      <c r="B2440" s="1" t="str">
        <f t="shared" si="437"/>
        <v>21.05.2020</v>
      </c>
      <c r="C2440" s="1" t="str">
        <f t="shared" ref="C2440:C2489" si="438">"Закрито"</f>
        <v>Закрито</v>
      </c>
      <c r="D244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40" s="1" t="str">
        <f>"Земельні питання"</f>
        <v>Земельні питання</v>
      </c>
      <c r="F24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40" s="1" t="str">
        <f>"1"</f>
        <v>1</v>
      </c>
      <c r="H2440" s="1" t="str">
        <f>"Результат"</f>
        <v>Результат</v>
      </c>
      <c r="I2440" s="1" t="str">
        <f>"Позитивний"</f>
        <v>Позитивний</v>
      </c>
      <c r="J2440" s="1" t="str">
        <f>"Так"</f>
        <v>Так</v>
      </c>
    </row>
    <row r="2441" spans="1:10" ht="135" x14ac:dyDescent="0.25">
      <c r="A2441" s="1" t="str">
        <f>"2501-2020/27"</f>
        <v>2501-2020/27</v>
      </c>
      <c r="B2441" s="1" t="str">
        <f t="shared" si="437"/>
        <v>21.05.2020</v>
      </c>
      <c r="C2441" s="1" t="str">
        <f t="shared" si="438"/>
        <v>Закрито</v>
      </c>
      <c r="D244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41" s="1" t="str">
        <f>"Земельні питання"</f>
        <v>Земельні питання</v>
      </c>
      <c r="F24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41" s="1" t="str">
        <f>"1"</f>
        <v>1</v>
      </c>
      <c r="H2441" s="1" t="str">
        <f>"Результат"</f>
        <v>Результат</v>
      </c>
      <c r="I2441" s="1" t="str">
        <f>"Позитивний"</f>
        <v>Позитивний</v>
      </c>
      <c r="J2441" s="1" t="str">
        <f>"Так"</f>
        <v>Так</v>
      </c>
    </row>
    <row r="2442" spans="1:10" ht="135" x14ac:dyDescent="0.25">
      <c r="A2442" s="1" t="str">
        <f>"2486-2020/27"</f>
        <v>2486-2020/27</v>
      </c>
      <c r="B2442" s="1" t="str">
        <f t="shared" si="437"/>
        <v>21.05.2020</v>
      </c>
      <c r="C2442" s="1" t="str">
        <f t="shared" si="438"/>
        <v>Закрито</v>
      </c>
      <c r="D244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42" s="1" t="str">
        <f>"Земельні питання"</f>
        <v>Земельні питання</v>
      </c>
      <c r="F24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42" s="1" t="str">
        <f>"1"</f>
        <v>1</v>
      </c>
      <c r="H2442" s="1" t="str">
        <f>"Результат"</f>
        <v>Результат</v>
      </c>
      <c r="I2442" s="1" t="str">
        <f>"Позитивний"</f>
        <v>Позитивний</v>
      </c>
      <c r="J2442" s="1" t="str">
        <f>"Так"</f>
        <v>Так</v>
      </c>
    </row>
    <row r="2443" spans="1:10" ht="45" x14ac:dyDescent="0.25">
      <c r="A2443" s="1" t="str">
        <f>"2492-2020/27"</f>
        <v>2492-2020/27</v>
      </c>
      <c r="B2443" s="1" t="str">
        <f t="shared" si="437"/>
        <v>21.05.2020</v>
      </c>
      <c r="C2443" s="1" t="str">
        <f t="shared" si="438"/>
        <v>Закрито</v>
      </c>
      <c r="D2443" s="1" t="str">
        <f>"Зняття з реєстрації місця проживання"</f>
        <v>Зняття з реєстрації місця проживання</v>
      </c>
      <c r="E2443" s="1" t="str">
        <f>"Реєстрація місця проживання"</f>
        <v>Реєстрація місця проживання</v>
      </c>
      <c r="F2443" s="1" t="str">
        <f>"Відділ реєстрації Новокаховської міської ради"</f>
        <v>Відділ реєстрації Новокаховської міської ради</v>
      </c>
      <c r="G2443" s="1" t="str">
        <f>"1"</f>
        <v>1</v>
      </c>
      <c r="H2443" s="1" t="str">
        <f>"Результат"</f>
        <v>Результат</v>
      </c>
      <c r="I2443" s="1" t="str">
        <f>"Позитивний"</f>
        <v>Позитивний</v>
      </c>
      <c r="J2443" s="1" t="str">
        <f>"Так"</f>
        <v>Так</v>
      </c>
    </row>
    <row r="2444" spans="1:10" ht="135" x14ac:dyDescent="0.25">
      <c r="A2444" s="1" t="str">
        <f>"2500-2020/27"</f>
        <v>2500-2020/27</v>
      </c>
      <c r="B2444" s="1" t="str">
        <f t="shared" si="437"/>
        <v>21.05.2020</v>
      </c>
      <c r="C2444" s="1" t="str">
        <f t="shared" si="438"/>
        <v>Закрито</v>
      </c>
      <c r="D244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44" s="1" t="str">
        <f>"Земельні питання"</f>
        <v>Земельні питання</v>
      </c>
      <c r="F24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44" s="1" t="str">
        <f>"14"</f>
        <v>14</v>
      </c>
      <c r="H2444" s="1" t="str">
        <f>"Результат"</f>
        <v>Результат</v>
      </c>
      <c r="I2444" s="1" t="str">
        <f>"Позитивний"</f>
        <v>Позитивний</v>
      </c>
      <c r="J2444" s="1" t="str">
        <f>"Ні"</f>
        <v>Ні</v>
      </c>
    </row>
    <row r="2445" spans="1:10" ht="135" x14ac:dyDescent="0.25">
      <c r="A2445" s="1" t="str">
        <f>"2490-2020/27"</f>
        <v>2490-2020/27</v>
      </c>
      <c r="B2445" s="1" t="str">
        <f t="shared" si="437"/>
        <v>21.05.2020</v>
      </c>
      <c r="C2445" s="1" t="str">
        <f t="shared" si="438"/>
        <v>Закрито</v>
      </c>
      <c r="D244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45" s="1" t="str">
        <f>"Земельні питання"</f>
        <v>Земельні питання</v>
      </c>
      <c r="F24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45" s="1" t="str">
        <f>"3"</f>
        <v>3</v>
      </c>
      <c r="H2445" s="1" t="str">
        <f>"Результат"</f>
        <v>Результат</v>
      </c>
      <c r="I2445" s="1" t="str">
        <f>"Позитивний"</f>
        <v>Позитивний</v>
      </c>
      <c r="J2445" s="1" t="str">
        <f>"Ні"</f>
        <v>Ні</v>
      </c>
    </row>
    <row r="2446" spans="1:10" ht="135" x14ac:dyDescent="0.25">
      <c r="A2446" s="1" t="str">
        <f>"2503-2020/27"</f>
        <v>2503-2020/27</v>
      </c>
      <c r="B2446" s="1" t="str">
        <f t="shared" si="437"/>
        <v>21.05.2020</v>
      </c>
      <c r="C2446" s="1" t="str">
        <f t="shared" si="438"/>
        <v>Закрито</v>
      </c>
      <c r="D244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46" s="1" t="str">
        <f>"Земельні питання"</f>
        <v>Земельні питання</v>
      </c>
      <c r="F24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46" s="1" t="str">
        <f>"14"</f>
        <v>14</v>
      </c>
      <c r="H2446" s="1" t="str">
        <f>"Результат"</f>
        <v>Результат</v>
      </c>
      <c r="I2446" s="1" t="str">
        <f>"Позитивний"</f>
        <v>Позитивний</v>
      </c>
      <c r="J2446" s="1" t="str">
        <f>"Ні"</f>
        <v>Ні</v>
      </c>
    </row>
    <row r="2447" spans="1:10" ht="135" x14ac:dyDescent="0.25">
      <c r="A2447" s="1" t="str">
        <f>"2489-2020/27"</f>
        <v>2489-2020/27</v>
      </c>
      <c r="B2447" s="1" t="str">
        <f t="shared" si="437"/>
        <v>21.05.2020</v>
      </c>
      <c r="C2447" s="1" t="str">
        <f t="shared" si="438"/>
        <v>Закрито</v>
      </c>
      <c r="D244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447" s="1" t="str">
        <f>"Земельні питання"</f>
        <v>Земельні питання</v>
      </c>
      <c r="F24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47" s="1" t="str">
        <f>"14"</f>
        <v>14</v>
      </c>
      <c r="H2447" s="1" t="str">
        <f>"Результат"</f>
        <v>Результат</v>
      </c>
      <c r="I2447" s="1" t="str">
        <f>"Позитивний"</f>
        <v>Позитивний</v>
      </c>
      <c r="J2447" s="1" t="str">
        <f>"Ні"</f>
        <v>Ні</v>
      </c>
    </row>
    <row r="2448" spans="1:10" ht="90" x14ac:dyDescent="0.25">
      <c r="A2448" s="1" t="str">
        <f>"2497-2020/27"</f>
        <v>2497-2020/27</v>
      </c>
      <c r="B2448" s="1" t="str">
        <f t="shared" si="437"/>
        <v>21.05.2020</v>
      </c>
      <c r="C2448" s="1" t="str">
        <f t="shared" si="438"/>
        <v>Закрито</v>
      </c>
      <c r="D244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48" s="1" t="str">
        <f>"Інші послуги"</f>
        <v>Інші послуги</v>
      </c>
      <c r="F244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48" s="1" t="str">
        <f>"5"</f>
        <v>5</v>
      </c>
      <c r="H2448" s="1" t="str">
        <f>"Результат"</f>
        <v>Результат</v>
      </c>
      <c r="I2448" s="1" t="str">
        <f>"Позитивний"</f>
        <v>Позитивний</v>
      </c>
      <c r="J2448" s="1" t="str">
        <f>"Ні"</f>
        <v>Ні</v>
      </c>
    </row>
    <row r="2449" spans="1:10" ht="45" x14ac:dyDescent="0.25">
      <c r="A2449" s="1" t="str">
        <f>"2507-2020/27"</f>
        <v>2507-2020/27</v>
      </c>
      <c r="B2449" s="1" t="str">
        <f t="shared" si="437"/>
        <v>21.05.2020</v>
      </c>
      <c r="C2449" s="1" t="str">
        <f t="shared" si="438"/>
        <v>Закрито</v>
      </c>
      <c r="D2449" s="1" t="str">
        <f>"Зняття з реєстрації місця проживання"</f>
        <v>Зняття з реєстрації місця проживання</v>
      </c>
      <c r="E2449" s="1" t="str">
        <f>"Реєстрація місця проживання"</f>
        <v>Реєстрація місця проживання</v>
      </c>
      <c r="F2449" s="1" t="str">
        <f>"Відділ реєстрації Новокаховської міської ради"</f>
        <v>Відділ реєстрації Новокаховської міської ради</v>
      </c>
      <c r="G2449" s="1" t="str">
        <f>"1"</f>
        <v>1</v>
      </c>
      <c r="H2449" s="1" t="str">
        <f>"Результат"</f>
        <v>Результат</v>
      </c>
      <c r="I2449" s="1" t="str">
        <f>"Позитивний"</f>
        <v>Позитивний</v>
      </c>
      <c r="J2449" s="1" t="str">
        <f>"Так"</f>
        <v>Так</v>
      </c>
    </row>
    <row r="2450" spans="1:10" ht="45" x14ac:dyDescent="0.25">
      <c r="A2450" s="1" t="str">
        <f>"2499-2020/27"</f>
        <v>2499-2020/27</v>
      </c>
      <c r="B2450" s="1" t="str">
        <f t="shared" si="437"/>
        <v>21.05.2020</v>
      </c>
      <c r="C2450" s="1" t="str">
        <f t="shared" si="438"/>
        <v>Закрито</v>
      </c>
      <c r="D2450" s="1" t="str">
        <f>"Реєстрація місця проживання особи"</f>
        <v>Реєстрація місця проживання особи</v>
      </c>
      <c r="E2450" s="1" t="str">
        <f>"Реєстрація місця проживання"</f>
        <v>Реєстрація місця проживання</v>
      </c>
      <c r="F2450" s="1" t="str">
        <f>"Відділ реєстрації Новокаховської міської ради"</f>
        <v>Відділ реєстрації Новокаховської міської ради</v>
      </c>
      <c r="G2450" s="1" t="str">
        <f>"1"</f>
        <v>1</v>
      </c>
      <c r="H2450" s="1" t="str">
        <f>"Результат"</f>
        <v>Результат</v>
      </c>
      <c r="I2450" s="1" t="str">
        <f>"Позитивний"</f>
        <v>Позитивний</v>
      </c>
      <c r="J2450" s="1" t="str">
        <f>"Так"</f>
        <v>Так</v>
      </c>
    </row>
    <row r="2451" spans="1:10" ht="45" x14ac:dyDescent="0.25">
      <c r="A2451" s="1" t="str">
        <f>"2508-2020/27"</f>
        <v>2508-2020/27</v>
      </c>
      <c r="B2451" s="1" t="str">
        <f t="shared" si="437"/>
        <v>21.05.2020</v>
      </c>
      <c r="C2451" s="1" t="str">
        <f t="shared" si="438"/>
        <v>Закрито</v>
      </c>
      <c r="D2451" s="1" t="str">
        <f>"Зняття з реєстрації місця проживання"</f>
        <v>Зняття з реєстрації місця проживання</v>
      </c>
      <c r="E2451" s="1" t="str">
        <f>"Реєстрація місця проживання"</f>
        <v>Реєстрація місця проживання</v>
      </c>
      <c r="F2451" s="1" t="str">
        <f>"Відділ реєстрації Новокаховської міської ради"</f>
        <v>Відділ реєстрації Новокаховської міської ради</v>
      </c>
      <c r="G2451" s="1" t="str">
        <f>"1"</f>
        <v>1</v>
      </c>
      <c r="H2451" s="1" t="str">
        <f>"Результат"</f>
        <v>Результат</v>
      </c>
      <c r="I2451" s="1" t="str">
        <f>"Позитивний"</f>
        <v>Позитивний</v>
      </c>
      <c r="J2451" s="1" t="str">
        <f>"Так"</f>
        <v>Так</v>
      </c>
    </row>
    <row r="2452" spans="1:10" ht="45" x14ac:dyDescent="0.25">
      <c r="A2452" s="1" t="str">
        <f>"2509-2020/27"</f>
        <v>2509-2020/27</v>
      </c>
      <c r="B2452" s="1" t="str">
        <f t="shared" si="437"/>
        <v>21.05.2020</v>
      </c>
      <c r="C2452" s="1" t="str">
        <f t="shared" si="438"/>
        <v>Закрито</v>
      </c>
      <c r="D2452" s="1" t="str">
        <f>"Зняття з реєстрації місця проживання"</f>
        <v>Зняття з реєстрації місця проживання</v>
      </c>
      <c r="E2452" s="1" t="str">
        <f>"Реєстрація місця проживання"</f>
        <v>Реєстрація місця проживання</v>
      </c>
      <c r="F2452" s="1" t="str">
        <f>"Відділ реєстрації Новокаховської міської ради"</f>
        <v>Відділ реєстрації Новокаховської міської ради</v>
      </c>
      <c r="G2452" s="1" t="str">
        <f>"1"</f>
        <v>1</v>
      </c>
      <c r="H2452" s="1" t="str">
        <f>"Результат"</f>
        <v>Результат</v>
      </c>
      <c r="I2452" s="1" t="str">
        <f>"Позитивний"</f>
        <v>Позитивний</v>
      </c>
      <c r="J2452" s="1" t="str">
        <f>"Так"</f>
        <v>Так</v>
      </c>
    </row>
    <row r="2453" spans="1:10" ht="135" x14ac:dyDescent="0.25">
      <c r="A2453" s="1" t="str">
        <f>"2481-2020/27"</f>
        <v>2481-2020/27</v>
      </c>
      <c r="B2453" s="1" t="str">
        <f t="shared" si="437"/>
        <v>21.05.2020</v>
      </c>
      <c r="C2453" s="1" t="str">
        <f t="shared" si="438"/>
        <v>Закрито</v>
      </c>
      <c r="D2453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53" s="1" t="str">
        <f>"Земельні питання"</f>
        <v>Земельні питання</v>
      </c>
      <c r="F24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53" s="1" t="str">
        <f>"14"</f>
        <v>14</v>
      </c>
      <c r="H2453" s="1" t="str">
        <f>"Результат"</f>
        <v>Результат</v>
      </c>
      <c r="I2453" s="1" t="str">
        <f>"Позитивний"</f>
        <v>Позитивний</v>
      </c>
      <c r="J2453" s="1" t="str">
        <f>"Ні"</f>
        <v>Ні</v>
      </c>
    </row>
    <row r="2454" spans="1:10" ht="45" x14ac:dyDescent="0.25">
      <c r="A2454" s="1" t="str">
        <f>"2494-2020/27"</f>
        <v>2494-2020/27</v>
      </c>
      <c r="B2454" s="1" t="str">
        <f t="shared" si="437"/>
        <v>21.05.2020</v>
      </c>
      <c r="C2454" s="1" t="str">
        <f t="shared" si="438"/>
        <v>Закрито</v>
      </c>
      <c r="D2454" s="1" t="str">
        <f>"Реєстрація місця проживання особи"</f>
        <v>Реєстрація місця проживання особи</v>
      </c>
      <c r="E2454" s="1" t="str">
        <f>"Реєстрація місця проживання"</f>
        <v>Реєстрація місця проживання</v>
      </c>
      <c r="F2454" s="1" t="str">
        <f>"Відділ реєстрації Новокаховської міської ради"</f>
        <v>Відділ реєстрації Новокаховської міської ради</v>
      </c>
      <c r="G2454" s="1" t="str">
        <f>"1"</f>
        <v>1</v>
      </c>
      <c r="H2454" s="1" t="str">
        <f>"Результат"</f>
        <v>Результат</v>
      </c>
      <c r="I2454" s="1" t="str">
        <f>"Позитивний"</f>
        <v>Позитивний</v>
      </c>
      <c r="J2454" s="1" t="str">
        <f>"Так"</f>
        <v>Так</v>
      </c>
    </row>
    <row r="2455" spans="1:10" ht="135" x14ac:dyDescent="0.25">
      <c r="A2455" s="1" t="str">
        <f>"2511-2020/27"</f>
        <v>2511-2020/27</v>
      </c>
      <c r="B2455" s="1" t="str">
        <f t="shared" si="437"/>
        <v>21.05.2020</v>
      </c>
      <c r="C2455" s="1" t="str">
        <f t="shared" si="438"/>
        <v>Закрито</v>
      </c>
      <c r="D2455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455" s="1" t="str">
        <f>"Земельні питання"</f>
        <v>Земельні питання</v>
      </c>
      <c r="F24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55" s="1" t="str">
        <f>"14"</f>
        <v>14</v>
      </c>
      <c r="H2455" s="1" t="str">
        <f>"Результат"</f>
        <v>Результат</v>
      </c>
      <c r="I2455" s="1" t="str">
        <f>"Позитивний"</f>
        <v>Позитивний</v>
      </c>
      <c r="J2455" s="1" t="str">
        <f>"Ні"</f>
        <v>Ні</v>
      </c>
    </row>
    <row r="2456" spans="1:10" ht="45" x14ac:dyDescent="0.25">
      <c r="A2456" s="1" t="str">
        <f>"2491-2020/27"</f>
        <v>2491-2020/27</v>
      </c>
      <c r="B2456" s="1" t="str">
        <f t="shared" si="437"/>
        <v>21.05.2020</v>
      </c>
      <c r="C2456" s="1" t="str">
        <f t="shared" si="438"/>
        <v>Закрито</v>
      </c>
      <c r="D2456" s="1" t="str">
        <f>"Реєстрація місця проживання особи"</f>
        <v>Реєстрація місця проживання особи</v>
      </c>
      <c r="E2456" s="1" t="str">
        <f>"Реєстрація місця проживання"</f>
        <v>Реєстрація місця проживання</v>
      </c>
      <c r="F2456" s="1" t="str">
        <f>"Відділ реєстрації Новокаховської міської ради"</f>
        <v>Відділ реєстрації Новокаховської міської ради</v>
      </c>
      <c r="G2456" s="1" t="str">
        <f>"1"</f>
        <v>1</v>
      </c>
      <c r="H2456" s="1" t="str">
        <f>"Результат"</f>
        <v>Результат</v>
      </c>
      <c r="I2456" s="1" t="str">
        <f>"Позитивний"</f>
        <v>Позитивний</v>
      </c>
      <c r="J2456" s="1" t="str">
        <f>"Так"</f>
        <v>Так</v>
      </c>
    </row>
    <row r="2457" spans="1:10" ht="135" x14ac:dyDescent="0.25">
      <c r="A2457" s="1" t="str">
        <f>"2488-2020/27"</f>
        <v>2488-2020/27</v>
      </c>
      <c r="B2457" s="1" t="str">
        <f t="shared" si="437"/>
        <v>21.05.2020</v>
      </c>
      <c r="C2457" s="1" t="str">
        <f t="shared" si="438"/>
        <v>Закрито</v>
      </c>
      <c r="D24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57" s="1" t="str">
        <f>"Земельні питання"</f>
        <v>Земельні питання</v>
      </c>
      <c r="F24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57" s="1" t="str">
        <f>"1"</f>
        <v>1</v>
      </c>
      <c r="H2457" s="1" t="str">
        <f>"Результат"</f>
        <v>Результат</v>
      </c>
      <c r="I2457" s="1" t="str">
        <f>"Позитивний"</f>
        <v>Позитивний</v>
      </c>
      <c r="J2457" s="1" t="str">
        <f>"Так"</f>
        <v>Так</v>
      </c>
    </row>
    <row r="2458" spans="1:10" ht="120" x14ac:dyDescent="0.25">
      <c r="A2458" s="1" t="str">
        <f>"2514-2020/27"</f>
        <v>2514-2020/27</v>
      </c>
      <c r="B2458" s="1" t="str">
        <f t="shared" si="437"/>
        <v>21.05.2020</v>
      </c>
      <c r="C2458" s="1" t="str">
        <f t="shared" si="438"/>
        <v>Закрито</v>
      </c>
      <c r="D2458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458" s="1" t="str">
        <f>"Будівництво"</f>
        <v>Будівництво</v>
      </c>
      <c r="F245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458" s="1" t="str">
        <f>"10"</f>
        <v>10</v>
      </c>
      <c r="H2458" s="1" t="str">
        <f>"Результат"</f>
        <v>Результат</v>
      </c>
      <c r="I2458" s="1" t="str">
        <f>"Позитивний"</f>
        <v>Позитивний</v>
      </c>
      <c r="J2458" s="1" t="str">
        <f>"Ні"</f>
        <v>Ні</v>
      </c>
    </row>
    <row r="2459" spans="1:10" ht="135" x14ac:dyDescent="0.25">
      <c r="A2459" s="1" t="str">
        <f>"2510-2020/27"</f>
        <v>2510-2020/27</v>
      </c>
      <c r="B2459" s="1" t="str">
        <f t="shared" si="437"/>
        <v>21.05.2020</v>
      </c>
      <c r="C2459" s="1" t="str">
        <f t="shared" si="438"/>
        <v>Закрито</v>
      </c>
      <c r="D245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459" s="1" t="str">
        <f>"Державна реєстрація громадських об’єднань"</f>
        <v>Державна реєстрація громадських об’єднань</v>
      </c>
      <c r="F24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59" s="1" t="str">
        <f>"14"</f>
        <v>14</v>
      </c>
      <c r="H2459" s="1" t="str">
        <f>"Результат"</f>
        <v>Результат</v>
      </c>
      <c r="I2459" s="1" t="str">
        <f>"Позитивний"</f>
        <v>Позитивний</v>
      </c>
      <c r="J2459" s="1" t="str">
        <f>"Ні"</f>
        <v>Ні</v>
      </c>
    </row>
    <row r="2460" spans="1:10" ht="135" x14ac:dyDescent="0.25">
      <c r="A2460" s="1" t="str">
        <f>"2485-2020/27"</f>
        <v>2485-2020/27</v>
      </c>
      <c r="B2460" s="1" t="str">
        <f t="shared" si="437"/>
        <v>21.05.2020</v>
      </c>
      <c r="C2460" s="1" t="str">
        <f t="shared" si="438"/>
        <v>Закрито</v>
      </c>
      <c r="D246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60" s="1" t="str">
        <f>"Земельні питання"</f>
        <v>Земельні питання</v>
      </c>
      <c r="F24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60" s="1" t="str">
        <f>"3"</f>
        <v>3</v>
      </c>
      <c r="H2460" s="1" t="str">
        <f>"Результат"</f>
        <v>Результат</v>
      </c>
      <c r="I2460" s="1" t="str">
        <f>"Позитивний"</f>
        <v>Позитивний</v>
      </c>
      <c r="J2460" s="1" t="str">
        <f>"Ні"</f>
        <v>Ні</v>
      </c>
    </row>
    <row r="2461" spans="1:10" ht="45" x14ac:dyDescent="0.25">
      <c r="A2461" s="1" t="str">
        <f>"2498-2020/27"</f>
        <v>2498-2020/27</v>
      </c>
      <c r="B2461" s="1" t="str">
        <f t="shared" si="437"/>
        <v>21.05.2020</v>
      </c>
      <c r="C2461" s="1" t="str">
        <f t="shared" si="438"/>
        <v>Закрито</v>
      </c>
      <c r="D2461" s="1" t="str">
        <f>"Реєстрація місця проживання особи"</f>
        <v>Реєстрація місця проживання особи</v>
      </c>
      <c r="E2461" s="1" t="str">
        <f>"Реєстрація місця проживання"</f>
        <v>Реєстрація місця проживання</v>
      </c>
      <c r="F2461" s="1" t="str">
        <f>"Відділ реєстрації Новокаховської міської ради"</f>
        <v>Відділ реєстрації Новокаховської міської ради</v>
      </c>
      <c r="G2461" s="1" t="str">
        <f>"1"</f>
        <v>1</v>
      </c>
      <c r="H2461" s="1" t="str">
        <f>"Результат"</f>
        <v>Результат</v>
      </c>
      <c r="I2461" s="1" t="str">
        <f>"Позитивний"</f>
        <v>Позитивний</v>
      </c>
      <c r="J2461" s="1" t="str">
        <f>"Так"</f>
        <v>Так</v>
      </c>
    </row>
    <row r="2462" spans="1:10" ht="135" x14ac:dyDescent="0.25">
      <c r="A2462" s="1" t="str">
        <f>"2483-2020/27"</f>
        <v>2483-2020/27</v>
      </c>
      <c r="B2462" s="1" t="str">
        <f t="shared" si="437"/>
        <v>21.05.2020</v>
      </c>
      <c r="C2462" s="1" t="str">
        <f t="shared" si="438"/>
        <v>Закрито</v>
      </c>
      <c r="D246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62" s="1" t="str">
        <f>"Земельні питання"</f>
        <v>Земельні питання</v>
      </c>
      <c r="F24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62" s="1" t="str">
        <f>"3"</f>
        <v>3</v>
      </c>
      <c r="H2462" s="1" t="str">
        <f>"Результат"</f>
        <v>Результат</v>
      </c>
      <c r="I2462" s="1" t="str">
        <f>"Позитивний"</f>
        <v>Позитивний</v>
      </c>
      <c r="J2462" s="1" t="str">
        <f>"Ні"</f>
        <v>Ні</v>
      </c>
    </row>
    <row r="2463" spans="1:10" ht="90" x14ac:dyDescent="0.25">
      <c r="A2463" s="1" t="str">
        <f>"2482-2020/27"</f>
        <v>2482-2020/27</v>
      </c>
      <c r="B2463" s="1" t="str">
        <f t="shared" si="437"/>
        <v>21.05.2020</v>
      </c>
      <c r="C2463" s="1" t="str">
        <f t="shared" si="438"/>
        <v>Закрито</v>
      </c>
      <c r="D246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63" s="1" t="str">
        <f>"Інші послуги"</f>
        <v>Інші послуги</v>
      </c>
      <c r="F246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63" s="1" t="str">
        <f>"5"</f>
        <v>5</v>
      </c>
      <c r="H2463" s="1" t="str">
        <f>"Результат"</f>
        <v>Результат</v>
      </c>
      <c r="I2463" s="1" t="str">
        <f>"Позитивний"</f>
        <v>Позитивний</v>
      </c>
      <c r="J2463" s="1" t="str">
        <f>"Ні"</f>
        <v>Ні</v>
      </c>
    </row>
    <row r="2464" spans="1:10" ht="90" x14ac:dyDescent="0.25">
      <c r="A2464" s="1" t="str">
        <f>"2506-2020/27"</f>
        <v>2506-2020/27</v>
      </c>
      <c r="B2464" s="1" t="str">
        <f t="shared" si="437"/>
        <v>21.05.2020</v>
      </c>
      <c r="C2464" s="1" t="str">
        <f t="shared" si="438"/>
        <v>Закрито</v>
      </c>
      <c r="D246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64" s="1" t="str">
        <f>"Інші послуги"</f>
        <v>Інші послуги</v>
      </c>
      <c r="F246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64" s="1" t="str">
        <f>"5"</f>
        <v>5</v>
      </c>
      <c r="H2464" s="1" t="str">
        <f>"Результат"</f>
        <v>Результат</v>
      </c>
      <c r="I2464" s="1" t="str">
        <f>"Позитивний"</f>
        <v>Позитивний</v>
      </c>
      <c r="J2464" s="1" t="str">
        <f>"Ні"</f>
        <v>Ні</v>
      </c>
    </row>
    <row r="2465" spans="1:10" ht="45" x14ac:dyDescent="0.25">
      <c r="A2465" s="1" t="str">
        <f>"2495-2020/27"</f>
        <v>2495-2020/27</v>
      </c>
      <c r="B2465" s="1" t="str">
        <f t="shared" si="437"/>
        <v>21.05.2020</v>
      </c>
      <c r="C2465" s="1" t="str">
        <f t="shared" si="438"/>
        <v>Закрито</v>
      </c>
      <c r="D2465" s="1" t="str">
        <f>"Реєстрація місця проживання особи"</f>
        <v>Реєстрація місця проживання особи</v>
      </c>
      <c r="E2465" s="1" t="str">
        <f>"Реєстрація місця проживання"</f>
        <v>Реєстрація місця проживання</v>
      </c>
      <c r="F2465" s="1" t="str">
        <f>"Відділ реєстрації Новокаховської міської ради"</f>
        <v>Відділ реєстрації Новокаховської міської ради</v>
      </c>
      <c r="G2465" s="1" t="str">
        <f>"1"</f>
        <v>1</v>
      </c>
      <c r="H2465" s="1" t="str">
        <f>"Результат"</f>
        <v>Результат</v>
      </c>
      <c r="I2465" s="1" t="str">
        <f>"Позитивний"</f>
        <v>Позитивний</v>
      </c>
      <c r="J2465" s="1" t="str">
        <f>"Так"</f>
        <v>Так</v>
      </c>
    </row>
    <row r="2466" spans="1:10" ht="135" x14ac:dyDescent="0.25">
      <c r="A2466" s="1" t="str">
        <f>"2493-2020/27"</f>
        <v>2493-2020/27</v>
      </c>
      <c r="B2466" s="1" t="str">
        <f t="shared" si="437"/>
        <v>21.05.2020</v>
      </c>
      <c r="C2466" s="1" t="str">
        <f t="shared" si="438"/>
        <v>Закрито</v>
      </c>
      <c r="D246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66" s="1" t="str">
        <f>"Земельні питання"</f>
        <v>Земельні питання</v>
      </c>
      <c r="F24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66" s="1" t="str">
        <f>"1"</f>
        <v>1</v>
      </c>
      <c r="H2466" s="1" t="str">
        <f>"Результат"</f>
        <v>Результат</v>
      </c>
      <c r="I2466" s="1" t="str">
        <f>"Позитивний"</f>
        <v>Позитивний</v>
      </c>
      <c r="J2466" s="1" t="str">
        <f>"Так"</f>
        <v>Так</v>
      </c>
    </row>
    <row r="2467" spans="1:10" ht="45" x14ac:dyDescent="0.25">
      <c r="A2467" s="1" t="str">
        <f>"2496-2020/27"</f>
        <v>2496-2020/27</v>
      </c>
      <c r="B2467" s="1" t="str">
        <f t="shared" si="437"/>
        <v>21.05.2020</v>
      </c>
      <c r="C2467" s="1" t="str">
        <f t="shared" si="438"/>
        <v>Закрито</v>
      </c>
      <c r="D2467" s="1" t="str">
        <f>"Реєстрація місця проживання особи"</f>
        <v>Реєстрація місця проживання особи</v>
      </c>
      <c r="E2467" s="1" t="str">
        <f>"Реєстрація місця проживання"</f>
        <v>Реєстрація місця проживання</v>
      </c>
      <c r="F2467" s="1" t="str">
        <f>"Відділ реєстрації Новокаховської міської ради"</f>
        <v>Відділ реєстрації Новокаховської міської ради</v>
      </c>
      <c r="G2467" s="1" t="str">
        <f>"1"</f>
        <v>1</v>
      </c>
      <c r="H2467" s="1" t="str">
        <f>"Результат"</f>
        <v>Результат</v>
      </c>
      <c r="I2467" s="1" t="str">
        <f>"Позитивний"</f>
        <v>Позитивний</v>
      </c>
      <c r="J2467" s="1" t="str">
        <f>"Так"</f>
        <v>Так</v>
      </c>
    </row>
    <row r="2468" spans="1:10" ht="135" x14ac:dyDescent="0.25">
      <c r="A2468" s="1" t="str">
        <f>"2504-2020/27"</f>
        <v>2504-2020/27</v>
      </c>
      <c r="B2468" s="1" t="str">
        <f t="shared" si="437"/>
        <v>21.05.2020</v>
      </c>
      <c r="C2468" s="1" t="str">
        <f t="shared" si="438"/>
        <v>Закрито</v>
      </c>
      <c r="D246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68" s="1" t="str">
        <f>"Земельні питання"</f>
        <v>Земельні питання</v>
      </c>
      <c r="F24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68" s="1" t="str">
        <f>"3"</f>
        <v>3</v>
      </c>
      <c r="H2468" s="1" t="str">
        <f>"Результат"</f>
        <v>Результат</v>
      </c>
      <c r="I2468" s="1" t="str">
        <f>"Позитивний"</f>
        <v>Позитивний</v>
      </c>
      <c r="J2468" s="1" t="str">
        <f>"Ні"</f>
        <v>Ні</v>
      </c>
    </row>
    <row r="2469" spans="1:10" ht="135" x14ac:dyDescent="0.25">
      <c r="A2469" s="1" t="str">
        <f>"2484-2020/27"</f>
        <v>2484-2020/27</v>
      </c>
      <c r="B2469" s="1" t="str">
        <f t="shared" si="437"/>
        <v>21.05.2020</v>
      </c>
      <c r="C2469" s="1" t="str">
        <f t="shared" si="438"/>
        <v>Закрито</v>
      </c>
      <c r="D24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69" s="1" t="str">
        <f>"Земельні питання"</f>
        <v>Земельні питання</v>
      </c>
      <c r="F24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69" s="1" t="str">
        <f>"3"</f>
        <v>3</v>
      </c>
      <c r="H2469" s="1" t="str">
        <f>"Результат"</f>
        <v>Результат</v>
      </c>
      <c r="I2469" s="1" t="str">
        <f>"Позитивний"</f>
        <v>Позитивний</v>
      </c>
      <c r="J2469" s="1" t="str">
        <f>"Ні"</f>
        <v>Ні</v>
      </c>
    </row>
    <row r="2470" spans="1:10" ht="45" x14ac:dyDescent="0.25">
      <c r="A2470" s="1" t="str">
        <f>"2505-2020/27"</f>
        <v>2505-2020/27</v>
      </c>
      <c r="B2470" s="1" t="str">
        <f t="shared" si="437"/>
        <v>21.05.2020</v>
      </c>
      <c r="C2470" s="1" t="str">
        <f t="shared" si="438"/>
        <v>Закрито</v>
      </c>
      <c r="D2470" s="1" t="str">
        <f>"Реєстрація місця проживання особи"</f>
        <v>Реєстрація місця проживання особи</v>
      </c>
      <c r="E2470" s="1" t="str">
        <f>"Реєстрація місця проживання"</f>
        <v>Реєстрація місця проживання</v>
      </c>
      <c r="F2470" s="1" t="str">
        <f>"Відділ реєстрації Новокаховської міської ради"</f>
        <v>Відділ реєстрації Новокаховської міської ради</v>
      </c>
      <c r="G2470" s="1" t="str">
        <f>"1"</f>
        <v>1</v>
      </c>
      <c r="H2470" s="1" t="str">
        <f>"Результат"</f>
        <v>Результат</v>
      </c>
      <c r="I2470" s="1" t="str">
        <f>"Позитивний"</f>
        <v>Позитивний</v>
      </c>
      <c r="J2470" s="1" t="str">
        <f>"Так"</f>
        <v>Так</v>
      </c>
    </row>
    <row r="2471" spans="1:10" ht="135" x14ac:dyDescent="0.25">
      <c r="A2471" s="1" t="str">
        <f>"2487-2020/27"</f>
        <v>2487-2020/27</v>
      </c>
      <c r="B2471" s="1" t="str">
        <f t="shared" si="437"/>
        <v>21.05.2020</v>
      </c>
      <c r="C2471" s="1" t="str">
        <f t="shared" si="438"/>
        <v>Закрито</v>
      </c>
      <c r="D24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71" s="1" t="str">
        <f>"Земельні питання"</f>
        <v>Земельні питання</v>
      </c>
      <c r="F24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71" s="1" t="str">
        <f>"1"</f>
        <v>1</v>
      </c>
      <c r="H2471" s="1" t="str">
        <f>"Результат"</f>
        <v>Результат</v>
      </c>
      <c r="I2471" s="1" t="str">
        <f>"Позитивний"</f>
        <v>Позитивний</v>
      </c>
      <c r="J2471" s="1" t="str">
        <f>"Так"</f>
        <v>Так</v>
      </c>
    </row>
    <row r="2472" spans="1:10" ht="135" x14ac:dyDescent="0.25">
      <c r="A2472" s="1" t="str">
        <f>"2512-2020/27"</f>
        <v>2512-2020/27</v>
      </c>
      <c r="B2472" s="1" t="str">
        <f t="shared" si="437"/>
        <v>21.05.2020</v>
      </c>
      <c r="C2472" s="1" t="str">
        <f t="shared" si="438"/>
        <v>Закрито</v>
      </c>
      <c r="D2472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472" s="1" t="str">
        <f>"Земельні питання"</f>
        <v>Земельні питання</v>
      </c>
      <c r="F24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72" s="1" t="str">
        <f>"14"</f>
        <v>14</v>
      </c>
      <c r="H2472" s="1" t="str">
        <f>"Результат"</f>
        <v>Результат</v>
      </c>
      <c r="I2472" s="1" t="str">
        <f>"Позитивний"</f>
        <v>Позитивний</v>
      </c>
      <c r="J2472" s="1" t="str">
        <f>"Ні"</f>
        <v>Ні</v>
      </c>
    </row>
    <row r="2473" spans="1:10" ht="135" x14ac:dyDescent="0.25">
      <c r="A2473" s="1" t="str">
        <f>"2502-2020/27"</f>
        <v>2502-2020/27</v>
      </c>
      <c r="B2473" s="1" t="str">
        <f t="shared" si="437"/>
        <v>21.05.2020</v>
      </c>
      <c r="C2473" s="1" t="str">
        <f t="shared" si="438"/>
        <v>Закрито</v>
      </c>
      <c r="D2473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473" s="1" t="str">
        <f>"Земельні питання"</f>
        <v>Земельні питання</v>
      </c>
      <c r="F24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73" s="1" t="str">
        <f>"14"</f>
        <v>14</v>
      </c>
      <c r="H2473" s="1" t="str">
        <f>"Результат"</f>
        <v>Результат</v>
      </c>
      <c r="I2473" s="1" t="str">
        <f>"Позитивний"</f>
        <v>Позитивний</v>
      </c>
      <c r="J2473" s="1" t="str">
        <f>"Ні"</f>
        <v>Ні</v>
      </c>
    </row>
    <row r="2474" spans="1:10" ht="45" x14ac:dyDescent="0.25">
      <c r="A2474" s="1" t="str">
        <f>"2515-2020/27"</f>
        <v>2515-2020/27</v>
      </c>
      <c r="B2474" s="1" t="str">
        <f t="shared" ref="B2474:B2485" si="439">"22.05.2020"</f>
        <v>22.05.2020</v>
      </c>
      <c r="C2474" s="1" t="str">
        <f t="shared" si="438"/>
        <v>Закрито</v>
      </c>
      <c r="D2474" s="1" t="str">
        <f>"Реєстрація місця проживання особи"</f>
        <v>Реєстрація місця проживання особи</v>
      </c>
      <c r="E2474" s="1" t="str">
        <f>"Реєстрація місця проживання"</f>
        <v>Реєстрація місця проживання</v>
      </c>
      <c r="F2474" s="1" t="str">
        <f>"Відділ реєстрації Новокаховської міської ради"</f>
        <v>Відділ реєстрації Новокаховської міської ради</v>
      </c>
      <c r="G2474" s="1" t="str">
        <f>"1"</f>
        <v>1</v>
      </c>
      <c r="H2474" s="1" t="str">
        <f>"Результат"</f>
        <v>Результат</v>
      </c>
      <c r="I2474" s="1" t="str">
        <f>"Позитивний"</f>
        <v>Позитивний</v>
      </c>
      <c r="J2474" s="1" t="str">
        <f>"Так"</f>
        <v>Так</v>
      </c>
    </row>
    <row r="2475" spans="1:10" ht="45" x14ac:dyDescent="0.25">
      <c r="A2475" s="1" t="str">
        <f>"2520-2020/27"</f>
        <v>2520-2020/27</v>
      </c>
      <c r="B2475" s="1" t="str">
        <f t="shared" si="439"/>
        <v>22.05.2020</v>
      </c>
      <c r="C2475" s="1" t="str">
        <f t="shared" si="438"/>
        <v>Закрито</v>
      </c>
      <c r="D2475" s="1" t="str">
        <f>"Зняття з реєстрації місця проживання"</f>
        <v>Зняття з реєстрації місця проживання</v>
      </c>
      <c r="E2475" s="1" t="str">
        <f>"Реєстрація місця проживання"</f>
        <v>Реєстрація місця проживання</v>
      </c>
      <c r="F2475" s="1" t="str">
        <f>"Відділ реєстрації Новокаховської міської ради"</f>
        <v>Відділ реєстрації Новокаховської міської ради</v>
      </c>
      <c r="G2475" s="1" t="str">
        <f>"1"</f>
        <v>1</v>
      </c>
      <c r="H2475" s="1" t="str">
        <f>"Результат"</f>
        <v>Результат</v>
      </c>
      <c r="I2475" s="1" t="str">
        <f>"Позитивний"</f>
        <v>Позитивний</v>
      </c>
      <c r="J2475" s="1" t="str">
        <f>"Так"</f>
        <v>Так</v>
      </c>
    </row>
    <row r="2476" spans="1:10" ht="135" x14ac:dyDescent="0.25">
      <c r="A2476" s="1" t="str">
        <f>"2522-2020/27"</f>
        <v>2522-2020/27</v>
      </c>
      <c r="B2476" s="1" t="str">
        <f t="shared" si="439"/>
        <v>22.05.2020</v>
      </c>
      <c r="C2476" s="1" t="str">
        <f t="shared" si="438"/>
        <v>Закрито</v>
      </c>
      <c r="D2476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476" s="1" t="str">
        <f>"Земельні питання"</f>
        <v>Земельні питання</v>
      </c>
      <c r="F24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76" s="1" t="str">
        <f>"14"</f>
        <v>14</v>
      </c>
      <c r="H2476" s="1" t="str">
        <f>"Результат"</f>
        <v>Результат</v>
      </c>
      <c r="I2476" s="1" t="str">
        <f>"Позитивний"</f>
        <v>Позитивний</v>
      </c>
      <c r="J2476" s="1" t="str">
        <f>"Ні"</f>
        <v>Ні</v>
      </c>
    </row>
    <row r="2477" spans="1:10" ht="225" x14ac:dyDescent="0.25">
      <c r="A2477" s="1" t="str">
        <f>"2526-2020/27"</f>
        <v>2526-2020/27</v>
      </c>
      <c r="B2477" s="1" t="str">
        <f t="shared" si="439"/>
        <v>22.05.2020</v>
      </c>
      <c r="C2477" s="1" t="str">
        <f t="shared" si="438"/>
        <v>Закрито</v>
      </c>
      <c r="D2477" s="1" t="s">
        <v>1</v>
      </c>
      <c r="E2477" s="1" t="str">
        <f>"Будівництво"</f>
        <v>Будівництво</v>
      </c>
      <c r="F247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477" s="1" t="str">
        <f>"30"</f>
        <v>30</v>
      </c>
      <c r="H2477" s="1" t="str">
        <f>"Результат"</f>
        <v>Результат</v>
      </c>
      <c r="I2477" s="1" t="str">
        <f>"Позитивний"</f>
        <v>Позитивний</v>
      </c>
      <c r="J2477" s="1" t="str">
        <f>"Ні"</f>
        <v>Ні</v>
      </c>
    </row>
    <row r="2478" spans="1:10" ht="45" x14ac:dyDescent="0.25">
      <c r="A2478" s="1" t="str">
        <f>"2517-2020/27"</f>
        <v>2517-2020/27</v>
      </c>
      <c r="B2478" s="1" t="str">
        <f t="shared" si="439"/>
        <v>22.05.2020</v>
      </c>
      <c r="C2478" s="1" t="str">
        <f t="shared" si="438"/>
        <v>Закрито</v>
      </c>
      <c r="D2478" s="1" t="str">
        <f>"Реєстрація місця проживання особи"</f>
        <v>Реєстрація місця проживання особи</v>
      </c>
      <c r="E2478" s="1" t="str">
        <f>"Реєстрація місця проживання"</f>
        <v>Реєстрація місця проживання</v>
      </c>
      <c r="F2478" s="1" t="str">
        <f>"Відділ реєстрації Новокаховської міської ради"</f>
        <v>Відділ реєстрації Новокаховської міської ради</v>
      </c>
      <c r="G2478" s="1" t="str">
        <f>"1"</f>
        <v>1</v>
      </c>
      <c r="H2478" s="1" t="str">
        <f>"Результат"</f>
        <v>Результат</v>
      </c>
      <c r="I2478" s="1" t="str">
        <f>"Позитивний"</f>
        <v>Позитивний</v>
      </c>
      <c r="J2478" s="1" t="str">
        <f>"Так"</f>
        <v>Так</v>
      </c>
    </row>
    <row r="2479" spans="1:10" ht="135" x14ac:dyDescent="0.25">
      <c r="A2479" s="1" t="str">
        <f>"2523-2020/27"</f>
        <v>2523-2020/27</v>
      </c>
      <c r="B2479" s="1" t="str">
        <f t="shared" si="439"/>
        <v>22.05.2020</v>
      </c>
      <c r="C2479" s="1" t="str">
        <f t="shared" si="438"/>
        <v>Закрито</v>
      </c>
      <c r="D2479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479" s="1" t="str">
        <f>"Земельні питання"</f>
        <v>Земельні питання</v>
      </c>
      <c r="F24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79" s="1" t="str">
        <f>"14"</f>
        <v>14</v>
      </c>
      <c r="H2479" s="1" t="str">
        <f>"Результат"</f>
        <v>Результат</v>
      </c>
      <c r="I2479" s="1" t="str">
        <f>"Позитивний"</f>
        <v>Позитивний</v>
      </c>
      <c r="J2479" s="1" t="str">
        <f>"Ні"</f>
        <v>Ні</v>
      </c>
    </row>
    <row r="2480" spans="1:10" ht="45" x14ac:dyDescent="0.25">
      <c r="A2480" s="1" t="str">
        <f>"2524-2020/27"</f>
        <v>2524-2020/27</v>
      </c>
      <c r="B2480" s="1" t="str">
        <f t="shared" si="439"/>
        <v>22.05.2020</v>
      </c>
      <c r="C2480" s="1" t="str">
        <f t="shared" si="438"/>
        <v>Закрито</v>
      </c>
      <c r="D2480" s="1" t="str">
        <f>"Зняття з реєстрації місця проживання"</f>
        <v>Зняття з реєстрації місця проживання</v>
      </c>
      <c r="E2480" s="1" t="str">
        <f>"Реєстрація місця проживання"</f>
        <v>Реєстрація місця проживання</v>
      </c>
      <c r="F2480" s="1" t="str">
        <f>"Відділ реєстрації Новокаховської міської ради"</f>
        <v>Відділ реєстрації Новокаховської міської ради</v>
      </c>
      <c r="G2480" s="1" t="str">
        <f>"1"</f>
        <v>1</v>
      </c>
      <c r="H2480" s="1" t="str">
        <f>"Результат"</f>
        <v>Результат</v>
      </c>
      <c r="I2480" s="1" t="str">
        <f>"Позитивний"</f>
        <v>Позитивний</v>
      </c>
      <c r="J2480" s="1" t="str">
        <f>"Так"</f>
        <v>Так</v>
      </c>
    </row>
    <row r="2481" spans="1:10" ht="45" x14ac:dyDescent="0.25">
      <c r="A2481" s="1" t="str">
        <f>"2518-2020/27"</f>
        <v>2518-2020/27</v>
      </c>
      <c r="B2481" s="1" t="str">
        <f t="shared" si="439"/>
        <v>22.05.2020</v>
      </c>
      <c r="C2481" s="1" t="str">
        <f t="shared" si="438"/>
        <v>Закрито</v>
      </c>
      <c r="D2481" s="1" t="str">
        <f>"Зняття з реєстрації місця проживання"</f>
        <v>Зняття з реєстрації місця проживання</v>
      </c>
      <c r="E2481" s="1" t="str">
        <f>"Реєстрація місця проживання"</f>
        <v>Реєстрація місця проживання</v>
      </c>
      <c r="F2481" s="1" t="str">
        <f>"Відділ реєстрації Новокаховської міської ради"</f>
        <v>Відділ реєстрації Новокаховської міської ради</v>
      </c>
      <c r="G2481" s="1" t="str">
        <f>"1"</f>
        <v>1</v>
      </c>
      <c r="H2481" s="1" t="str">
        <f>"Результат"</f>
        <v>Результат</v>
      </c>
      <c r="I2481" s="1" t="str">
        <f>"Позитивний"</f>
        <v>Позитивний</v>
      </c>
      <c r="J2481" s="1" t="str">
        <f>"Так"</f>
        <v>Так</v>
      </c>
    </row>
    <row r="2482" spans="1:10" ht="45" x14ac:dyDescent="0.25">
      <c r="A2482" s="1" t="str">
        <f>"2516-2020/27"</f>
        <v>2516-2020/27</v>
      </c>
      <c r="B2482" s="1" t="str">
        <f t="shared" si="439"/>
        <v>22.05.2020</v>
      </c>
      <c r="C2482" s="1" t="str">
        <f t="shared" si="438"/>
        <v>Закрито</v>
      </c>
      <c r="D2482" s="1" t="str">
        <f>"Зняття з реєстрації місця проживання"</f>
        <v>Зняття з реєстрації місця проживання</v>
      </c>
      <c r="E2482" s="1" t="str">
        <f>"Реєстрація місця проживання"</f>
        <v>Реєстрація місця проживання</v>
      </c>
      <c r="F2482" s="1" t="str">
        <f>"Відділ реєстрації Новокаховської міської ради"</f>
        <v>Відділ реєстрації Новокаховської міської ради</v>
      </c>
      <c r="G2482" s="1" t="str">
        <f>"1"</f>
        <v>1</v>
      </c>
      <c r="H2482" s="1" t="str">
        <f>"Результат"</f>
        <v>Результат</v>
      </c>
      <c r="I2482" s="1" t="str">
        <f>"Позитивний"</f>
        <v>Позитивний</v>
      </c>
      <c r="J2482" s="1" t="str">
        <f>"Так"</f>
        <v>Так</v>
      </c>
    </row>
    <row r="2483" spans="1:10" ht="135" x14ac:dyDescent="0.25">
      <c r="A2483" s="1" t="str">
        <f>"2525-2020/27"</f>
        <v>2525-2020/27</v>
      </c>
      <c r="B2483" s="1" t="str">
        <f t="shared" si="439"/>
        <v>22.05.2020</v>
      </c>
      <c r="C2483" s="1" t="str">
        <f t="shared" si="438"/>
        <v>Закрито</v>
      </c>
      <c r="D24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83" s="1" t="str">
        <f>"Земельні питання"</f>
        <v>Земельні питання</v>
      </c>
      <c r="F24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83" s="1" t="str">
        <f>"1"</f>
        <v>1</v>
      </c>
      <c r="H2483" s="1" t="str">
        <f>"Результат"</f>
        <v>Результат</v>
      </c>
      <c r="I2483" s="1" t="str">
        <f>"Позитивний"</f>
        <v>Позитивний</v>
      </c>
      <c r="J2483" s="1" t="str">
        <f>"Так"</f>
        <v>Так</v>
      </c>
    </row>
    <row r="2484" spans="1:10" ht="45" x14ac:dyDescent="0.25">
      <c r="A2484" s="1" t="str">
        <f>"2519-2020/27"</f>
        <v>2519-2020/27</v>
      </c>
      <c r="B2484" s="1" t="str">
        <f t="shared" si="439"/>
        <v>22.05.2020</v>
      </c>
      <c r="C2484" s="1" t="str">
        <f t="shared" si="438"/>
        <v>Закрито</v>
      </c>
      <c r="D2484" s="1" t="str">
        <f>"Реєстрація місця проживання особи"</f>
        <v>Реєстрація місця проживання особи</v>
      </c>
      <c r="E2484" s="1" t="str">
        <f>"Реєстрація місця проживання"</f>
        <v>Реєстрація місця проживання</v>
      </c>
      <c r="F2484" s="1" t="str">
        <f>"Відділ реєстрації Новокаховської міської ради"</f>
        <v>Відділ реєстрації Новокаховської міської ради</v>
      </c>
      <c r="G2484" s="1" t="str">
        <f>"1"</f>
        <v>1</v>
      </c>
      <c r="H2484" s="1" t="str">
        <f>"Результат"</f>
        <v>Результат</v>
      </c>
      <c r="I2484" s="1" t="str">
        <f>"Позитивний"</f>
        <v>Позитивний</v>
      </c>
      <c r="J2484" s="1" t="str">
        <f>"Так"</f>
        <v>Так</v>
      </c>
    </row>
    <row r="2485" spans="1:10" ht="90" x14ac:dyDescent="0.25">
      <c r="A2485" s="1" t="str">
        <f>"2521-2020/27"</f>
        <v>2521-2020/27</v>
      </c>
      <c r="B2485" s="1" t="str">
        <f t="shared" si="439"/>
        <v>22.05.2020</v>
      </c>
      <c r="C2485" s="1" t="str">
        <f t="shared" si="438"/>
        <v>Закрито</v>
      </c>
      <c r="D248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85" s="1" t="str">
        <f>"Інші послуги"</f>
        <v>Інші послуги</v>
      </c>
      <c r="F248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85" s="1" t="str">
        <f>"5"</f>
        <v>5</v>
      </c>
      <c r="H2485" s="1" t="str">
        <f>"Результат"</f>
        <v>Результат</v>
      </c>
      <c r="I2485" s="1" t="str">
        <f>"Позитивний"</f>
        <v>Позитивний</v>
      </c>
      <c r="J2485" s="1" t="str">
        <f>"Ні"</f>
        <v>Ні</v>
      </c>
    </row>
    <row r="2486" spans="1:10" ht="90" x14ac:dyDescent="0.25">
      <c r="A2486" s="1" t="str">
        <f>"2538-2020/27"</f>
        <v>2538-2020/27</v>
      </c>
      <c r="B2486" s="1" t="str">
        <f t="shared" ref="B2486:B2512" si="440">"25.05.2020"</f>
        <v>25.05.2020</v>
      </c>
      <c r="C2486" s="1" t="str">
        <f t="shared" si="438"/>
        <v>Закрито</v>
      </c>
      <c r="D248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86" s="1" t="str">
        <f>"Інші послуги"</f>
        <v>Інші послуги</v>
      </c>
      <c r="F248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86" s="1" t="str">
        <f>"5"</f>
        <v>5</v>
      </c>
      <c r="H2486" s="1" t="str">
        <f>"Результат"</f>
        <v>Результат</v>
      </c>
      <c r="I2486" s="1" t="str">
        <f>"Позитивний"</f>
        <v>Позитивний</v>
      </c>
      <c r="J2486" s="1" t="str">
        <f>"Ні"</f>
        <v>Ні</v>
      </c>
    </row>
    <row r="2487" spans="1:10" ht="135" x14ac:dyDescent="0.25">
      <c r="A2487" s="1" t="str">
        <f>"2549-2020/27"</f>
        <v>2549-2020/27</v>
      </c>
      <c r="B2487" s="1" t="str">
        <f t="shared" si="440"/>
        <v>25.05.2020</v>
      </c>
      <c r="C2487" s="1" t="str">
        <f t="shared" si="438"/>
        <v>Закрито</v>
      </c>
      <c r="D24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87" s="1" t="str">
        <f>"Земельні питання"</f>
        <v>Земельні питання</v>
      </c>
      <c r="F24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87" s="1" t="str">
        <f>"1"</f>
        <v>1</v>
      </c>
      <c r="H2487" s="1" t="str">
        <f>"Результат"</f>
        <v>Результат</v>
      </c>
      <c r="I2487" s="1" t="str">
        <f>"Позитивний"</f>
        <v>Позитивний</v>
      </c>
      <c r="J2487" s="1" t="str">
        <f>"Так"</f>
        <v>Так</v>
      </c>
    </row>
    <row r="2488" spans="1:10" ht="135" x14ac:dyDescent="0.25">
      <c r="A2488" s="1" t="str">
        <f>"2546-2020/27"</f>
        <v>2546-2020/27</v>
      </c>
      <c r="B2488" s="1" t="str">
        <f t="shared" si="440"/>
        <v>25.05.2020</v>
      </c>
      <c r="C2488" s="1" t="str">
        <f t="shared" si="438"/>
        <v>Закрито</v>
      </c>
      <c r="D24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488" s="1" t="str">
        <f>"Земельні питання"</f>
        <v>Земельні питання</v>
      </c>
      <c r="F24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88" s="1" t="str">
        <f>"3"</f>
        <v>3</v>
      </c>
      <c r="H2488" s="1" t="str">
        <f>"Результат"</f>
        <v>Результат</v>
      </c>
      <c r="I2488" s="1" t="str">
        <f>"Позитивний"</f>
        <v>Позитивний</v>
      </c>
      <c r="J2488" s="1" t="str">
        <f>"Ні"</f>
        <v>Ні</v>
      </c>
    </row>
    <row r="2489" spans="1:10" ht="135" x14ac:dyDescent="0.25">
      <c r="A2489" s="1" t="str">
        <f>"2527-2020/27"</f>
        <v>2527-2020/27</v>
      </c>
      <c r="B2489" s="1" t="str">
        <f t="shared" si="440"/>
        <v>25.05.2020</v>
      </c>
      <c r="C2489" s="1" t="str">
        <f t="shared" si="438"/>
        <v>Закрито</v>
      </c>
      <c r="D24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89" s="1" t="str">
        <f>"Земельні питання"</f>
        <v>Земельні питання</v>
      </c>
      <c r="F24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89" s="1" t="str">
        <f>"1"</f>
        <v>1</v>
      </c>
      <c r="H2489" s="1" t="str">
        <f>"Результат"</f>
        <v>Результат</v>
      </c>
      <c r="I2489" s="1" t="str">
        <f>"Позитивний"</f>
        <v>Позитивний</v>
      </c>
      <c r="J2489" s="1" t="str">
        <f>"Так"</f>
        <v>Так</v>
      </c>
    </row>
    <row r="2490" spans="1:10" ht="120" x14ac:dyDescent="0.25">
      <c r="A2490" s="1" t="str">
        <f>"2541-2020/27"</f>
        <v>2541-2020/27</v>
      </c>
      <c r="B2490" s="1" t="str">
        <f t="shared" si="440"/>
        <v>25.05.2020</v>
      </c>
      <c r="C2490" s="1" t="str">
        <f>"На обробці в адмін. органі"</f>
        <v>На обробці в адмін. органі</v>
      </c>
      <c r="D2490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490" s="1" t="str">
        <f>"Будівництво"</f>
        <v>Будівництво</v>
      </c>
      <c r="F249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490" s="1" t="str">
        <f>"10"</f>
        <v>10</v>
      </c>
      <c r="H2490" s="1" t="str">
        <f>""</f>
        <v/>
      </c>
      <c r="I2490" s="1" t="str">
        <f>""</f>
        <v/>
      </c>
      <c r="J2490" s="1" t="str">
        <f>"Ні"</f>
        <v>Ні</v>
      </c>
    </row>
    <row r="2491" spans="1:10" ht="135" x14ac:dyDescent="0.25">
      <c r="A2491" s="1" t="str">
        <f>"2528-2020/27"</f>
        <v>2528-2020/27</v>
      </c>
      <c r="B2491" s="1" t="str">
        <f t="shared" si="440"/>
        <v>25.05.2020</v>
      </c>
      <c r="C2491" s="1" t="str">
        <f t="shared" ref="C2491:C2554" si="441">"Закрито"</f>
        <v>Закрито</v>
      </c>
      <c r="D24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91" s="1" t="str">
        <f>"Земельні питання"</f>
        <v>Земельні питання</v>
      </c>
      <c r="F24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91" s="1" t="str">
        <f>"1"</f>
        <v>1</v>
      </c>
      <c r="H2491" s="1" t="str">
        <f>"Результат"</f>
        <v>Результат</v>
      </c>
      <c r="I2491" s="1" t="str">
        <f>"Позитивний"</f>
        <v>Позитивний</v>
      </c>
      <c r="J2491" s="1" t="str">
        <f>"Так"</f>
        <v>Так</v>
      </c>
    </row>
    <row r="2492" spans="1:10" ht="135" x14ac:dyDescent="0.25">
      <c r="A2492" s="1" t="str">
        <f>"2531-2020/27"</f>
        <v>2531-2020/27</v>
      </c>
      <c r="B2492" s="1" t="str">
        <f t="shared" si="440"/>
        <v>25.05.2020</v>
      </c>
      <c r="C2492" s="1" t="str">
        <f t="shared" si="441"/>
        <v>Закрито</v>
      </c>
      <c r="D24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92" s="1" t="str">
        <f>"Земельні питання"</f>
        <v>Земельні питання</v>
      </c>
      <c r="F24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92" s="1" t="str">
        <f>"1"</f>
        <v>1</v>
      </c>
      <c r="H2492" s="1" t="str">
        <f>"Результат"</f>
        <v>Результат</v>
      </c>
      <c r="I2492" s="1" t="str">
        <f>"Позитивний"</f>
        <v>Позитивний</v>
      </c>
      <c r="J2492" s="1" t="str">
        <f>"Так"</f>
        <v>Так</v>
      </c>
    </row>
    <row r="2493" spans="1:10" ht="135" x14ac:dyDescent="0.25">
      <c r="A2493" s="1" t="str">
        <f>"2552-2020/27"</f>
        <v>2552-2020/27</v>
      </c>
      <c r="B2493" s="1" t="str">
        <f t="shared" si="440"/>
        <v>25.05.2020</v>
      </c>
      <c r="C2493" s="1" t="str">
        <f t="shared" si="441"/>
        <v>Закрито</v>
      </c>
      <c r="D249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493" s="1" t="str">
        <f>"Земельні питання"</f>
        <v>Земельні питання</v>
      </c>
      <c r="F24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93" s="1" t="str">
        <f>"14"</f>
        <v>14</v>
      </c>
      <c r="H2493" s="1" t="str">
        <f>"Результат"</f>
        <v>Результат</v>
      </c>
      <c r="I2493" s="1" t="str">
        <f>"Позитивний"</f>
        <v>Позитивний</v>
      </c>
      <c r="J2493" s="1" t="str">
        <f>"Ні"</f>
        <v>Ні</v>
      </c>
    </row>
    <row r="2494" spans="1:10" ht="45" x14ac:dyDescent="0.25">
      <c r="A2494" s="1" t="str">
        <f>"2536-2020/27"</f>
        <v>2536-2020/27</v>
      </c>
      <c r="B2494" s="1" t="str">
        <f t="shared" si="440"/>
        <v>25.05.2020</v>
      </c>
      <c r="C2494" s="1" t="str">
        <f t="shared" si="441"/>
        <v>Закрито</v>
      </c>
      <c r="D2494" s="1" t="str">
        <f>"Зняття з реєстрації місця проживання"</f>
        <v>Зняття з реєстрації місця проживання</v>
      </c>
      <c r="E2494" s="1" t="str">
        <f>"Реєстрація місця проживання"</f>
        <v>Реєстрація місця проживання</v>
      </c>
      <c r="F2494" s="1" t="str">
        <f>"Відділ реєстрації Новокаховської міської ради"</f>
        <v>Відділ реєстрації Новокаховської міської ради</v>
      </c>
      <c r="G2494" s="1" t="str">
        <f>"1"</f>
        <v>1</v>
      </c>
      <c r="H2494" s="1" t="str">
        <f>"Результат"</f>
        <v>Результат</v>
      </c>
      <c r="I2494" s="1" t="str">
        <f>"Позитивний"</f>
        <v>Позитивний</v>
      </c>
      <c r="J2494" s="1" t="str">
        <f>"Так"</f>
        <v>Так</v>
      </c>
    </row>
    <row r="2495" spans="1:10" ht="90" x14ac:dyDescent="0.25">
      <c r="A2495" s="1" t="str">
        <f>"2543-2020/27"</f>
        <v>2543-2020/27</v>
      </c>
      <c r="B2495" s="1" t="str">
        <f t="shared" si="440"/>
        <v>25.05.2020</v>
      </c>
      <c r="C2495" s="1" t="str">
        <f t="shared" si="441"/>
        <v>Закрито</v>
      </c>
      <c r="D249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495" s="1" t="str">
        <f>"Інші послуги"</f>
        <v>Інші послуги</v>
      </c>
      <c r="F249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495" s="1" t="str">
        <f>"5"</f>
        <v>5</v>
      </c>
      <c r="H2495" s="1" t="str">
        <f>"Результат"</f>
        <v>Результат</v>
      </c>
      <c r="I2495" s="1" t="str">
        <f>"Позитивний"</f>
        <v>Позитивний</v>
      </c>
      <c r="J2495" s="1" t="str">
        <f>"Ні"</f>
        <v>Ні</v>
      </c>
    </row>
    <row r="2496" spans="1:10" ht="45" x14ac:dyDescent="0.25">
      <c r="A2496" s="1" t="str">
        <f>"2537-2020/27"</f>
        <v>2537-2020/27</v>
      </c>
      <c r="B2496" s="1" t="str">
        <f t="shared" si="440"/>
        <v>25.05.2020</v>
      </c>
      <c r="C2496" s="1" t="str">
        <f t="shared" si="441"/>
        <v>Закрито</v>
      </c>
      <c r="D2496" s="1" t="str">
        <f>"Реєстрація місця проживання особи"</f>
        <v>Реєстрація місця проживання особи</v>
      </c>
      <c r="E2496" s="1" t="str">
        <f>"Реєстрація місця проживання"</f>
        <v>Реєстрація місця проживання</v>
      </c>
      <c r="F2496" s="1" t="str">
        <f>"Відділ реєстрації Новокаховської міської ради"</f>
        <v>Відділ реєстрації Новокаховської міської ради</v>
      </c>
      <c r="G2496" s="1" t="str">
        <f>"1"</f>
        <v>1</v>
      </c>
      <c r="H2496" s="1" t="str">
        <f>"Результат"</f>
        <v>Результат</v>
      </c>
      <c r="I2496" s="1" t="str">
        <f>"Позитивний"</f>
        <v>Позитивний</v>
      </c>
      <c r="J2496" s="1" t="str">
        <f>"Так"</f>
        <v>Так</v>
      </c>
    </row>
    <row r="2497" spans="1:10" ht="135" x14ac:dyDescent="0.25">
      <c r="A2497" s="1" t="str">
        <f>"2550-2020/27"</f>
        <v>2550-2020/27</v>
      </c>
      <c r="B2497" s="1" t="str">
        <f t="shared" si="440"/>
        <v>25.05.2020</v>
      </c>
      <c r="C2497" s="1" t="str">
        <f t="shared" si="441"/>
        <v>Закрито</v>
      </c>
      <c r="D249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97" s="1" t="str">
        <f>"Земельні питання"</f>
        <v>Земельні питання</v>
      </c>
      <c r="F24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97" s="1" t="str">
        <f>"1"</f>
        <v>1</v>
      </c>
      <c r="H2497" s="1" t="str">
        <f>"Результат"</f>
        <v>Результат</v>
      </c>
      <c r="I2497" s="1" t="str">
        <f>"Позитивний"</f>
        <v>Позитивний</v>
      </c>
      <c r="J2497" s="1" t="str">
        <f>"Так"</f>
        <v>Так</v>
      </c>
    </row>
    <row r="2498" spans="1:10" ht="135" x14ac:dyDescent="0.25">
      <c r="A2498" s="1" t="str">
        <f>"2545-2020/27"</f>
        <v>2545-2020/27</v>
      </c>
      <c r="B2498" s="1" t="str">
        <f t="shared" si="440"/>
        <v>25.05.2020</v>
      </c>
      <c r="C2498" s="1" t="str">
        <f t="shared" si="441"/>
        <v>Закрито</v>
      </c>
      <c r="D249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498" s="1" t="str">
        <f>"Земельні питання"</f>
        <v>Земельні питання</v>
      </c>
      <c r="F24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98" s="1" t="str">
        <f>"1"</f>
        <v>1</v>
      </c>
      <c r="H2498" s="1" t="str">
        <f>"Результат"</f>
        <v>Результат</v>
      </c>
      <c r="I2498" s="1" t="str">
        <f>"Позитивний"</f>
        <v>Позитивний</v>
      </c>
      <c r="J2498" s="1" t="str">
        <f>"Так"</f>
        <v>Так</v>
      </c>
    </row>
    <row r="2499" spans="1:10" ht="135" x14ac:dyDescent="0.25">
      <c r="A2499" s="1" t="str">
        <f>"2553-2020/27"</f>
        <v>2553-2020/27</v>
      </c>
      <c r="B2499" s="1" t="str">
        <f t="shared" si="440"/>
        <v>25.05.2020</v>
      </c>
      <c r="C2499" s="1" t="str">
        <f t="shared" si="441"/>
        <v>Закрито</v>
      </c>
      <c r="D249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499" s="1" t="str">
        <f>"Земельні питання"</f>
        <v>Земельні питання</v>
      </c>
      <c r="F24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499" s="1" t="str">
        <f>"14"</f>
        <v>14</v>
      </c>
      <c r="H2499" s="1" t="str">
        <f>"Результат"</f>
        <v>Результат</v>
      </c>
      <c r="I2499" s="1" t="str">
        <f>"Позитивний"</f>
        <v>Позитивний</v>
      </c>
      <c r="J2499" s="1" t="str">
        <f>"Ні"</f>
        <v>Ні</v>
      </c>
    </row>
    <row r="2500" spans="1:10" ht="135" x14ac:dyDescent="0.25">
      <c r="A2500" s="1" t="str">
        <f>"2547-2020/27"</f>
        <v>2547-2020/27</v>
      </c>
      <c r="B2500" s="1" t="str">
        <f t="shared" si="440"/>
        <v>25.05.2020</v>
      </c>
      <c r="C2500" s="1" t="str">
        <f t="shared" si="441"/>
        <v>Закрито</v>
      </c>
      <c r="D250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00" s="1" t="str">
        <f>"Земельні питання"</f>
        <v>Земельні питання</v>
      </c>
      <c r="F25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00" s="1" t="str">
        <f>"3"</f>
        <v>3</v>
      </c>
      <c r="H2500" s="1" t="str">
        <f>"Результат"</f>
        <v>Результат</v>
      </c>
      <c r="I2500" s="1" t="str">
        <f>"Позитивний"</f>
        <v>Позитивний</v>
      </c>
      <c r="J2500" s="1" t="str">
        <f>"Ні"</f>
        <v>Ні</v>
      </c>
    </row>
    <row r="2501" spans="1:10" ht="45" x14ac:dyDescent="0.25">
      <c r="A2501" s="1" t="str">
        <f>"2533-2020/27"</f>
        <v>2533-2020/27</v>
      </c>
      <c r="B2501" s="1" t="str">
        <f t="shared" si="440"/>
        <v>25.05.2020</v>
      </c>
      <c r="C2501" s="1" t="str">
        <f t="shared" si="441"/>
        <v>Закрито</v>
      </c>
      <c r="D2501" s="1" t="str">
        <f>"Зняття з реєстрації місця проживання"</f>
        <v>Зняття з реєстрації місця проживання</v>
      </c>
      <c r="E2501" s="1" t="str">
        <f>"Реєстрація місця проживання"</f>
        <v>Реєстрація місця проживання</v>
      </c>
      <c r="F2501" s="1" t="str">
        <f>"Відділ реєстрації Новокаховської міської ради"</f>
        <v>Відділ реєстрації Новокаховської міської ради</v>
      </c>
      <c r="G2501" s="1" t="str">
        <f>"1"</f>
        <v>1</v>
      </c>
      <c r="H2501" s="1" t="str">
        <f>"Результат"</f>
        <v>Результат</v>
      </c>
      <c r="I2501" s="1" t="str">
        <f>"Позитивний"</f>
        <v>Позитивний</v>
      </c>
      <c r="J2501" s="1" t="str">
        <f>"Так"</f>
        <v>Так</v>
      </c>
    </row>
    <row r="2502" spans="1:10" ht="45" x14ac:dyDescent="0.25">
      <c r="A2502" s="1" t="str">
        <f>"2539-2020/27"</f>
        <v>2539-2020/27</v>
      </c>
      <c r="B2502" s="1" t="str">
        <f t="shared" si="440"/>
        <v>25.05.2020</v>
      </c>
      <c r="C2502" s="1" t="str">
        <f t="shared" si="441"/>
        <v>Закрито</v>
      </c>
      <c r="D2502" s="1" t="str">
        <f>"Реєстрація місця проживання особи"</f>
        <v>Реєстрація місця проживання особи</v>
      </c>
      <c r="E2502" s="1" t="str">
        <f>"Реєстрація місця проживання"</f>
        <v>Реєстрація місця проживання</v>
      </c>
      <c r="F2502" s="1" t="str">
        <f>"Відділ реєстрації Новокаховської міської ради"</f>
        <v>Відділ реєстрації Новокаховської міської ради</v>
      </c>
      <c r="G2502" s="1" t="str">
        <f>"1"</f>
        <v>1</v>
      </c>
      <c r="H2502" s="1" t="str">
        <f>"Результат"</f>
        <v>Результат</v>
      </c>
      <c r="I2502" s="1" t="str">
        <f>"Позитивний"</f>
        <v>Позитивний</v>
      </c>
      <c r="J2502" s="1" t="str">
        <f>"Так"</f>
        <v>Так</v>
      </c>
    </row>
    <row r="2503" spans="1:10" ht="135" x14ac:dyDescent="0.25">
      <c r="A2503" s="1" t="str">
        <f>"2548-2020/27"</f>
        <v>2548-2020/27</v>
      </c>
      <c r="B2503" s="1" t="str">
        <f t="shared" si="440"/>
        <v>25.05.2020</v>
      </c>
      <c r="C2503" s="1" t="str">
        <f t="shared" si="441"/>
        <v>Закрито</v>
      </c>
      <c r="D250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03" s="1" t="str">
        <f>"Земельні питання"</f>
        <v>Земельні питання</v>
      </c>
      <c r="F25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03" s="1" t="str">
        <f>"3"</f>
        <v>3</v>
      </c>
      <c r="H2503" s="1" t="str">
        <f>"Результат"</f>
        <v>Результат</v>
      </c>
      <c r="I2503" s="1" t="str">
        <f>"Позитивний"</f>
        <v>Позитивний</v>
      </c>
      <c r="J2503" s="1" t="str">
        <f>"Ні"</f>
        <v>Ні</v>
      </c>
    </row>
    <row r="2504" spans="1:10" ht="90" x14ac:dyDescent="0.25">
      <c r="A2504" s="1" t="str">
        <f>"2534-2020/27"</f>
        <v>2534-2020/27</v>
      </c>
      <c r="B2504" s="1" t="str">
        <f t="shared" si="440"/>
        <v>25.05.2020</v>
      </c>
      <c r="C2504" s="1" t="str">
        <f t="shared" si="441"/>
        <v>Закрито</v>
      </c>
      <c r="D250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04" s="1" t="str">
        <f>"Інші послуги"</f>
        <v>Інші послуги</v>
      </c>
      <c r="F250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04" s="1" t="str">
        <f>"5"</f>
        <v>5</v>
      </c>
      <c r="H2504" s="1" t="str">
        <f>"Результат"</f>
        <v>Результат</v>
      </c>
      <c r="I2504" s="1" t="str">
        <f>"Позитивний"</f>
        <v>Позитивний</v>
      </c>
      <c r="J2504" s="1" t="str">
        <f>"Ні"</f>
        <v>Ні</v>
      </c>
    </row>
    <row r="2505" spans="1:10" ht="45" x14ac:dyDescent="0.25">
      <c r="A2505" s="1" t="str">
        <f>"2540-2020/27"</f>
        <v>2540-2020/27</v>
      </c>
      <c r="B2505" s="1" t="str">
        <f t="shared" si="440"/>
        <v>25.05.2020</v>
      </c>
      <c r="C2505" s="1" t="str">
        <f t="shared" si="441"/>
        <v>Закрито</v>
      </c>
      <c r="D2505" s="1" t="str">
        <f>"Реєстрація місця проживання особи"</f>
        <v>Реєстрація місця проживання особи</v>
      </c>
      <c r="E2505" s="1" t="str">
        <f>"Реєстрація місця проживання"</f>
        <v>Реєстрація місця проживання</v>
      </c>
      <c r="F2505" s="1" t="str">
        <f>"Відділ реєстрації Новокаховської міської ради"</f>
        <v>Відділ реєстрації Новокаховської міської ради</v>
      </c>
      <c r="G2505" s="1" t="str">
        <f>"1"</f>
        <v>1</v>
      </c>
      <c r="H2505" s="1" t="str">
        <f>"Результат"</f>
        <v>Результат</v>
      </c>
      <c r="I2505" s="1" t="str">
        <f>"Позитивний"</f>
        <v>Позитивний</v>
      </c>
      <c r="J2505" s="1" t="str">
        <f>"Так"</f>
        <v>Так</v>
      </c>
    </row>
    <row r="2506" spans="1:10" ht="45" x14ac:dyDescent="0.25">
      <c r="A2506" s="1" t="str">
        <f>"2535-2020/27"</f>
        <v>2535-2020/27</v>
      </c>
      <c r="B2506" s="1" t="str">
        <f t="shared" si="440"/>
        <v>25.05.2020</v>
      </c>
      <c r="C2506" s="1" t="str">
        <f t="shared" si="441"/>
        <v>Закрито</v>
      </c>
      <c r="D2506" s="1" t="str">
        <f>"Реєстрація місця проживання особи"</f>
        <v>Реєстрація місця проживання особи</v>
      </c>
      <c r="E2506" s="1" t="str">
        <f>"Реєстрація місця проживання"</f>
        <v>Реєстрація місця проживання</v>
      </c>
      <c r="F2506" s="1" t="str">
        <f>"Відділ реєстрації Новокаховської міської ради"</f>
        <v>Відділ реєстрації Новокаховської міської ради</v>
      </c>
      <c r="G2506" s="1" t="str">
        <f>"1"</f>
        <v>1</v>
      </c>
      <c r="H2506" s="1" t="str">
        <f>"Результат"</f>
        <v>Результат</v>
      </c>
      <c r="I2506" s="1" t="str">
        <f>"Позитивний"</f>
        <v>Позитивний</v>
      </c>
      <c r="J2506" s="1" t="str">
        <f>"Так"</f>
        <v>Так</v>
      </c>
    </row>
    <row r="2507" spans="1:10" ht="90" x14ac:dyDescent="0.25">
      <c r="A2507" s="1" t="str">
        <f>"2529-2020/27"</f>
        <v>2529-2020/27</v>
      </c>
      <c r="B2507" s="1" t="str">
        <f t="shared" si="440"/>
        <v>25.05.2020</v>
      </c>
      <c r="C2507" s="1" t="str">
        <f t="shared" si="441"/>
        <v>Закрито</v>
      </c>
      <c r="D250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07" s="1" t="str">
        <f>"Інші послуги"</f>
        <v>Інші послуги</v>
      </c>
      <c r="F250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07" s="1" t="str">
        <f>"5"</f>
        <v>5</v>
      </c>
      <c r="H2507" s="1" t="str">
        <f>"Результат"</f>
        <v>Результат</v>
      </c>
      <c r="I2507" s="1" t="str">
        <f>"Позитивний"</f>
        <v>Позитивний</v>
      </c>
      <c r="J2507" s="1" t="str">
        <f t="shared" ref="J2507:J2513" si="442">"Ні"</f>
        <v>Ні</v>
      </c>
    </row>
    <row r="2508" spans="1:10" ht="135" x14ac:dyDescent="0.25">
      <c r="A2508" s="1" t="str">
        <f>"2544-2020/27"</f>
        <v>2544-2020/27</v>
      </c>
      <c r="B2508" s="1" t="str">
        <f t="shared" si="440"/>
        <v>25.05.2020</v>
      </c>
      <c r="C2508" s="1" t="str">
        <f t="shared" si="441"/>
        <v>Закрито</v>
      </c>
      <c r="D250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508" s="1" t="str">
        <f>"Земельні питання"</f>
        <v>Земельні питання</v>
      </c>
      <c r="F25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08" s="1" t="str">
        <f>"14"</f>
        <v>14</v>
      </c>
      <c r="H2508" s="1" t="str">
        <f>"Результат"</f>
        <v>Результат</v>
      </c>
      <c r="I2508" s="1" t="str">
        <f>"Позитивний"</f>
        <v>Позитивний</v>
      </c>
      <c r="J2508" s="1" t="str">
        <f t="shared" si="442"/>
        <v>Ні</v>
      </c>
    </row>
    <row r="2509" spans="1:10" ht="135" x14ac:dyDescent="0.25">
      <c r="A2509" s="1" t="str">
        <f>"2551-2020/27"</f>
        <v>2551-2020/27</v>
      </c>
      <c r="B2509" s="1" t="str">
        <f t="shared" si="440"/>
        <v>25.05.2020</v>
      </c>
      <c r="C2509" s="1" t="str">
        <f t="shared" si="441"/>
        <v>Закрито</v>
      </c>
      <c r="D250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09" s="1" t="str">
        <f>"Земельні питання"</f>
        <v>Земельні питання</v>
      </c>
      <c r="F25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09" s="1" t="str">
        <f>"14"</f>
        <v>14</v>
      </c>
      <c r="H2509" s="1" t="str">
        <f>"Результат"</f>
        <v>Результат</v>
      </c>
      <c r="I2509" s="1" t="str">
        <f>"Позитивний"</f>
        <v>Позитивний</v>
      </c>
      <c r="J2509" s="1" t="str">
        <f t="shared" si="442"/>
        <v>Ні</v>
      </c>
    </row>
    <row r="2510" spans="1:10" ht="90" x14ac:dyDescent="0.25">
      <c r="A2510" s="1" t="str">
        <f>"2542-2020/27"</f>
        <v>2542-2020/27</v>
      </c>
      <c r="B2510" s="1" t="str">
        <f t="shared" si="440"/>
        <v>25.05.2020</v>
      </c>
      <c r="C2510" s="1" t="str">
        <f t="shared" si="441"/>
        <v>Закрито</v>
      </c>
      <c r="D251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10" s="1" t="str">
        <f>"Інші послуги"</f>
        <v>Інші послуги</v>
      </c>
      <c r="F251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10" s="1" t="str">
        <f>"5"</f>
        <v>5</v>
      </c>
      <c r="H2510" s="1" t="str">
        <f>"Результат"</f>
        <v>Результат</v>
      </c>
      <c r="I2510" s="1" t="str">
        <f>"Позитивний"</f>
        <v>Позитивний</v>
      </c>
      <c r="J2510" s="1" t="str">
        <f t="shared" si="442"/>
        <v>Ні</v>
      </c>
    </row>
    <row r="2511" spans="1:10" ht="90" x14ac:dyDescent="0.25">
      <c r="A2511" s="1" t="str">
        <f>"2532-2020/27"</f>
        <v>2532-2020/27</v>
      </c>
      <c r="B2511" s="1" t="str">
        <f t="shared" si="440"/>
        <v>25.05.2020</v>
      </c>
      <c r="C2511" s="1" t="str">
        <f t="shared" si="441"/>
        <v>Закрито</v>
      </c>
      <c r="D251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11" s="1" t="str">
        <f>"Інші послуги"</f>
        <v>Інші послуги</v>
      </c>
      <c r="F251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11" s="1" t="str">
        <f>"5"</f>
        <v>5</v>
      </c>
      <c r="H2511" s="1" t="str">
        <f>"Результат"</f>
        <v>Результат</v>
      </c>
      <c r="I2511" s="1" t="str">
        <f>"Позитивний"</f>
        <v>Позитивний</v>
      </c>
      <c r="J2511" s="1" t="str">
        <f t="shared" si="442"/>
        <v>Ні</v>
      </c>
    </row>
    <row r="2512" spans="1:10" ht="135" x14ac:dyDescent="0.25">
      <c r="A2512" s="1" t="str">
        <f>"2530-2020/27"</f>
        <v>2530-2020/27</v>
      </c>
      <c r="B2512" s="1" t="str">
        <f t="shared" si="440"/>
        <v>25.05.2020</v>
      </c>
      <c r="C2512" s="1" t="str">
        <f t="shared" si="441"/>
        <v>Закрито</v>
      </c>
      <c r="D251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12" s="1" t="str">
        <f>"Земельні питання"</f>
        <v>Земельні питання</v>
      </c>
      <c r="F251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12" s="1" t="str">
        <f>"3"</f>
        <v>3</v>
      </c>
      <c r="H2512" s="1" t="str">
        <f>"Результат"</f>
        <v>Результат</v>
      </c>
      <c r="I2512" s="1" t="str">
        <f>"Позитивний"</f>
        <v>Позитивний</v>
      </c>
      <c r="J2512" s="1" t="str">
        <f t="shared" si="442"/>
        <v>Ні</v>
      </c>
    </row>
    <row r="2513" spans="1:10" ht="135" x14ac:dyDescent="0.25">
      <c r="A2513" s="1" t="str">
        <f>"2584-2020/27"</f>
        <v>2584-2020/27</v>
      </c>
      <c r="B2513" s="1" t="str">
        <f t="shared" ref="B2513:B2552" si="443">"26.05.2020"</f>
        <v>26.05.2020</v>
      </c>
      <c r="C2513" s="1" t="str">
        <f t="shared" si="441"/>
        <v>Закрито</v>
      </c>
      <c r="D2513" s="1" t="str">
        <f>"Виправлення технічної помилки у відомостях з Державного земельного кадастру, яка була допущена не з вини органу, що здійснює його ведення"</f>
        <v>Виправлення технічної помилки у відомостях з Державного земельного кадастру, яка була допущена не з вини органу, що здійснює його ведення</v>
      </c>
      <c r="E2513" s="1" t="str">
        <f>"Земельні питання"</f>
        <v>Земельні питання</v>
      </c>
      <c r="F25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13" s="1" t="str">
        <f>"2"</f>
        <v>2</v>
      </c>
      <c r="H2513" s="1" t="str">
        <f>"Результат"</f>
        <v>Результат</v>
      </c>
      <c r="I2513" s="1" t="str">
        <f>"Позитивний"</f>
        <v>Позитивний</v>
      </c>
      <c r="J2513" s="1" t="str">
        <f t="shared" si="442"/>
        <v>Ні</v>
      </c>
    </row>
    <row r="2514" spans="1:10" ht="135" x14ac:dyDescent="0.25">
      <c r="A2514" s="1" t="str">
        <f>"2586-2020/27"</f>
        <v>2586-2020/27</v>
      </c>
      <c r="B2514" s="1" t="str">
        <f t="shared" si="443"/>
        <v>26.05.2020</v>
      </c>
      <c r="C2514" s="1" t="str">
        <f t="shared" si="441"/>
        <v>Закрито</v>
      </c>
      <c r="D251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14" s="1" t="str">
        <f>"Земельні питання"</f>
        <v>Земельні питання</v>
      </c>
      <c r="F25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14" s="1" t="str">
        <f>"1"</f>
        <v>1</v>
      </c>
      <c r="H2514" s="1" t="str">
        <f>"Результат"</f>
        <v>Результат</v>
      </c>
      <c r="I2514" s="1" t="str">
        <f>"Позитивний"</f>
        <v>Позитивний</v>
      </c>
      <c r="J2514" s="1" t="str">
        <f>"Так"</f>
        <v>Так</v>
      </c>
    </row>
    <row r="2515" spans="1:10" ht="135" x14ac:dyDescent="0.25">
      <c r="A2515" s="1" t="str">
        <f>"2562-2020/27"</f>
        <v>2562-2020/27</v>
      </c>
      <c r="B2515" s="1" t="str">
        <f t="shared" si="443"/>
        <v>26.05.2020</v>
      </c>
      <c r="C2515" s="1" t="str">
        <f t="shared" si="441"/>
        <v>Закрито</v>
      </c>
      <c r="D251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15" s="1" t="str">
        <f>"Земельні питання"</f>
        <v>Земельні питання</v>
      </c>
      <c r="F25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15" s="1" t="str">
        <f>"1"</f>
        <v>1</v>
      </c>
      <c r="H2515" s="1" t="str">
        <f>"Результат"</f>
        <v>Результат</v>
      </c>
      <c r="I2515" s="1" t="str">
        <f>"Мотивована відмова"</f>
        <v>Мотивована відмова</v>
      </c>
      <c r="J2515" s="1" t="str">
        <f>"Так"</f>
        <v>Так</v>
      </c>
    </row>
    <row r="2516" spans="1:10" ht="135" x14ac:dyDescent="0.25">
      <c r="A2516" s="1" t="str">
        <f>"2559-2020/27"</f>
        <v>2559-2020/27</v>
      </c>
      <c r="B2516" s="1" t="str">
        <f t="shared" si="443"/>
        <v>26.05.2020</v>
      </c>
      <c r="C2516" s="1" t="str">
        <f t="shared" si="441"/>
        <v>Закрито</v>
      </c>
      <c r="D251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16" s="1" t="str">
        <f>"Земельні питання"</f>
        <v>Земельні питання</v>
      </c>
      <c r="F25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16" s="1" t="str">
        <f>"14"</f>
        <v>14</v>
      </c>
      <c r="H2516" s="1" t="str">
        <f>"Результат"</f>
        <v>Результат</v>
      </c>
      <c r="I2516" s="1" t="str">
        <f>"Позитивний"</f>
        <v>Позитивний</v>
      </c>
      <c r="J2516" s="1" t="str">
        <f>"Ні"</f>
        <v>Ні</v>
      </c>
    </row>
    <row r="2517" spans="1:10" ht="90" x14ac:dyDescent="0.25">
      <c r="A2517" s="1" t="str">
        <f>"2554-2020/27"</f>
        <v>2554-2020/27</v>
      </c>
      <c r="B2517" s="1" t="str">
        <f t="shared" si="443"/>
        <v>26.05.2020</v>
      </c>
      <c r="C2517" s="1" t="str">
        <f t="shared" si="441"/>
        <v>Закрито</v>
      </c>
      <c r="D251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17" s="1" t="str">
        <f>"Інші послуги"</f>
        <v>Інші послуги</v>
      </c>
      <c r="F251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17" s="1" t="str">
        <f>"5"</f>
        <v>5</v>
      </c>
      <c r="H2517" s="1" t="str">
        <f>"Результат"</f>
        <v>Результат</v>
      </c>
      <c r="I2517" s="1" t="str">
        <f>"Позитивний"</f>
        <v>Позитивний</v>
      </c>
      <c r="J2517" s="1" t="str">
        <f>"Ні"</f>
        <v>Ні</v>
      </c>
    </row>
    <row r="2518" spans="1:10" ht="135" x14ac:dyDescent="0.25">
      <c r="A2518" s="1" t="str">
        <f>"2560-2020/27"</f>
        <v>2560-2020/27</v>
      </c>
      <c r="B2518" s="1" t="str">
        <f t="shared" si="443"/>
        <v>26.05.2020</v>
      </c>
      <c r="C2518" s="1" t="str">
        <f t="shared" si="441"/>
        <v>Закрито</v>
      </c>
      <c r="D251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18" s="1" t="str">
        <f>"Земельні питання"</f>
        <v>Земельні питання</v>
      </c>
      <c r="F2518" s="1" t="str">
        <f t="shared" ref="F2518:F2531" si="444"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18" s="1" t="str">
        <f>"14"</f>
        <v>14</v>
      </c>
      <c r="H2518" s="1" t="str">
        <f>"Результат"</f>
        <v>Результат</v>
      </c>
      <c r="I2518" s="1" t="str">
        <f>"Позитивний"</f>
        <v>Позитивний</v>
      </c>
      <c r="J2518" s="1" t="str">
        <f>"Ні"</f>
        <v>Ні</v>
      </c>
    </row>
    <row r="2519" spans="1:10" ht="135" x14ac:dyDescent="0.25">
      <c r="A2519" s="1" t="str">
        <f>"2556-2020/27"</f>
        <v>2556-2020/27</v>
      </c>
      <c r="B2519" s="1" t="str">
        <f t="shared" si="443"/>
        <v>26.05.2020</v>
      </c>
      <c r="C2519" s="1" t="str">
        <f t="shared" si="441"/>
        <v>Закрито</v>
      </c>
      <c r="D251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19" s="1" t="str">
        <f>"Земельні питання"</f>
        <v>Земельні питання</v>
      </c>
      <c r="F2519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19" s="1" t="str">
        <f>"14"</f>
        <v>14</v>
      </c>
      <c r="H2519" s="1" t="str">
        <f>"Результат"</f>
        <v>Результат</v>
      </c>
      <c r="I2519" s="1" t="str">
        <f>"Позитивний"</f>
        <v>Позитивний</v>
      </c>
      <c r="J2519" s="1" t="str">
        <f>"Ні"</f>
        <v>Ні</v>
      </c>
    </row>
    <row r="2520" spans="1:10" ht="135" x14ac:dyDescent="0.25">
      <c r="A2520" s="1" t="str">
        <f>"2576-2020/27"</f>
        <v>2576-2020/27</v>
      </c>
      <c r="B2520" s="1" t="str">
        <f t="shared" si="443"/>
        <v>26.05.2020</v>
      </c>
      <c r="C2520" s="1" t="str">
        <f t="shared" si="441"/>
        <v>Закрито</v>
      </c>
      <c r="D252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20" s="1" t="str">
        <f>"Земельні питання"</f>
        <v>Земельні питання</v>
      </c>
      <c r="F2520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0" s="1" t="str">
        <f>"1"</f>
        <v>1</v>
      </c>
      <c r="H2520" s="1" t="str">
        <f>"Результат"</f>
        <v>Результат</v>
      </c>
      <c r="I2520" s="1" t="str">
        <f>"Позитивний"</f>
        <v>Позитивний</v>
      </c>
      <c r="J2520" s="1" t="str">
        <f>"Так"</f>
        <v>Так</v>
      </c>
    </row>
    <row r="2521" spans="1:10" ht="135" x14ac:dyDescent="0.25">
      <c r="A2521" s="1" t="str">
        <f>"2589-2020/27"</f>
        <v>2589-2020/27</v>
      </c>
      <c r="B2521" s="1" t="str">
        <f t="shared" si="443"/>
        <v>26.05.2020</v>
      </c>
      <c r="C2521" s="1" t="str">
        <f t="shared" si="441"/>
        <v>Закрито</v>
      </c>
      <c r="D25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21" s="1" t="str">
        <f>"Державна реєстрація громадських об’єднань"</f>
        <v>Державна реєстрація громадських об’єднань</v>
      </c>
      <c r="F2521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1" s="1" t="str">
        <f>"1"</f>
        <v>1</v>
      </c>
      <c r="H2521" s="1" t="str">
        <f>"Результат"</f>
        <v>Результат</v>
      </c>
      <c r="I2521" s="1" t="str">
        <f>"Позитивний"</f>
        <v>Позитивний</v>
      </c>
      <c r="J2521" s="1" t="str">
        <f>"Так"</f>
        <v>Так</v>
      </c>
    </row>
    <row r="2522" spans="1:10" ht="135" x14ac:dyDescent="0.25">
      <c r="A2522" s="1" t="str">
        <f>"2581-2020/27"</f>
        <v>2581-2020/27</v>
      </c>
      <c r="B2522" s="1" t="str">
        <f t="shared" si="443"/>
        <v>26.05.2020</v>
      </c>
      <c r="C2522" s="1" t="str">
        <f t="shared" si="441"/>
        <v>Закрито</v>
      </c>
      <c r="D252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22" s="1" t="str">
        <f t="shared" ref="E2522:E2531" si="445">"Земельні питання"</f>
        <v>Земельні питання</v>
      </c>
      <c r="F2522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2" s="1" t="str">
        <f>"14"</f>
        <v>14</v>
      </c>
      <c r="H2522" s="1" t="str">
        <f>"Результат"</f>
        <v>Результат</v>
      </c>
      <c r="I2522" s="1" t="str">
        <f>"Позитивний"</f>
        <v>Позитивний</v>
      </c>
      <c r="J2522" s="1" t="str">
        <f>"Ні"</f>
        <v>Ні</v>
      </c>
    </row>
    <row r="2523" spans="1:10" ht="135" x14ac:dyDescent="0.25">
      <c r="A2523" s="1" t="str">
        <f>"2590-2020/27"</f>
        <v>2590-2020/27</v>
      </c>
      <c r="B2523" s="1" t="str">
        <f t="shared" si="443"/>
        <v>26.05.2020</v>
      </c>
      <c r="C2523" s="1" t="str">
        <f t="shared" si="441"/>
        <v>Закрито</v>
      </c>
      <c r="D25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23" s="1" t="str">
        <f t="shared" si="445"/>
        <v>Земельні питання</v>
      </c>
      <c r="F2523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3" s="1" t="str">
        <f>"1"</f>
        <v>1</v>
      </c>
      <c r="H2523" s="1" t="str">
        <f>"Результат"</f>
        <v>Результат</v>
      </c>
      <c r="I2523" s="1" t="str">
        <f>"Позитивний"</f>
        <v>Позитивний</v>
      </c>
      <c r="J2523" s="1" t="str">
        <f>"Так"</f>
        <v>Так</v>
      </c>
    </row>
    <row r="2524" spans="1:10" ht="135" x14ac:dyDescent="0.25">
      <c r="A2524" s="1" t="str">
        <f>"2585-2020/27"</f>
        <v>2585-2020/27</v>
      </c>
      <c r="B2524" s="1" t="str">
        <f t="shared" si="443"/>
        <v>26.05.2020</v>
      </c>
      <c r="C2524" s="1" t="str">
        <f t="shared" si="441"/>
        <v>Закрито</v>
      </c>
      <c r="D25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24" s="1" t="str">
        <f t="shared" si="445"/>
        <v>Земельні питання</v>
      </c>
      <c r="F2524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4" s="1" t="str">
        <f>"1"</f>
        <v>1</v>
      </c>
      <c r="H2524" s="1" t="str">
        <f>"Результат"</f>
        <v>Результат</v>
      </c>
      <c r="I2524" s="1" t="str">
        <f>"Позитивний"</f>
        <v>Позитивний</v>
      </c>
      <c r="J2524" s="1" t="str">
        <f>"Так"</f>
        <v>Так</v>
      </c>
    </row>
    <row r="2525" spans="1:10" ht="135" x14ac:dyDescent="0.25">
      <c r="A2525" s="1" t="str">
        <f>"8111-2020/27"</f>
        <v>8111-2020/27</v>
      </c>
      <c r="B2525" s="1" t="str">
        <f t="shared" si="443"/>
        <v>26.05.2020</v>
      </c>
      <c r="C2525" s="1" t="str">
        <f t="shared" si="441"/>
        <v>Закрито</v>
      </c>
      <c r="D252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25" s="1" t="str">
        <f t="shared" si="445"/>
        <v>Земельні питання</v>
      </c>
      <c r="F2525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5" s="1" t="str">
        <f>"1"</f>
        <v>1</v>
      </c>
      <c r="H2525" s="1" t="str">
        <f>"Результат"</f>
        <v>Результат</v>
      </c>
      <c r="I2525" s="1" t="str">
        <f>"Позитивний"</f>
        <v>Позитивний</v>
      </c>
      <c r="J2525" s="1" t="str">
        <f>"Так"</f>
        <v>Так</v>
      </c>
    </row>
    <row r="2526" spans="1:10" ht="135" x14ac:dyDescent="0.25">
      <c r="A2526" s="1" t="str">
        <f>"2558-2020/27"</f>
        <v>2558-2020/27</v>
      </c>
      <c r="B2526" s="1" t="str">
        <f t="shared" si="443"/>
        <v>26.05.2020</v>
      </c>
      <c r="C2526" s="1" t="str">
        <f t="shared" si="441"/>
        <v>Закрито</v>
      </c>
      <c r="D25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26" s="1" t="str">
        <f t="shared" si="445"/>
        <v>Земельні питання</v>
      </c>
      <c r="F2526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6" s="1" t="str">
        <f>"1"</f>
        <v>1</v>
      </c>
      <c r="H2526" s="1" t="str">
        <f>"Результат"</f>
        <v>Результат</v>
      </c>
      <c r="I2526" s="1" t="str">
        <f>"Позитивний"</f>
        <v>Позитивний</v>
      </c>
      <c r="J2526" s="1" t="str">
        <f>"Так"</f>
        <v>Так</v>
      </c>
    </row>
    <row r="2527" spans="1:10" ht="135" x14ac:dyDescent="0.25">
      <c r="A2527" s="1" t="str">
        <f>"2579-2020/27"</f>
        <v>2579-2020/27</v>
      </c>
      <c r="B2527" s="1" t="str">
        <f t="shared" si="443"/>
        <v>26.05.2020</v>
      </c>
      <c r="C2527" s="1" t="str">
        <f t="shared" si="441"/>
        <v>Закрито</v>
      </c>
      <c r="D252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27" s="1" t="str">
        <f t="shared" si="445"/>
        <v>Земельні питання</v>
      </c>
      <c r="F2527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7" s="1" t="str">
        <f>"14"</f>
        <v>14</v>
      </c>
      <c r="H2527" s="1" t="str">
        <f>"Результат"</f>
        <v>Результат</v>
      </c>
      <c r="I2527" s="1" t="str">
        <f>"Позитивний"</f>
        <v>Позитивний</v>
      </c>
      <c r="J2527" s="1" t="str">
        <f>"Ні"</f>
        <v>Ні</v>
      </c>
    </row>
    <row r="2528" spans="1:10" ht="135" x14ac:dyDescent="0.25">
      <c r="A2528" s="1" t="str">
        <f>"2565-2020/27"</f>
        <v>2565-2020/27</v>
      </c>
      <c r="B2528" s="1" t="str">
        <f t="shared" si="443"/>
        <v>26.05.2020</v>
      </c>
      <c r="C2528" s="1" t="str">
        <f t="shared" si="441"/>
        <v>Закрито</v>
      </c>
      <c r="D252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28" s="1" t="str">
        <f t="shared" si="445"/>
        <v>Земельні питання</v>
      </c>
      <c r="F2528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8" s="1" t="str">
        <f>"3"</f>
        <v>3</v>
      </c>
      <c r="H2528" s="1" t="str">
        <f>"Результат"</f>
        <v>Результат</v>
      </c>
      <c r="I2528" s="1" t="str">
        <f>"Позитивний"</f>
        <v>Позитивний</v>
      </c>
      <c r="J2528" s="1" t="str">
        <f>"Ні"</f>
        <v>Ні</v>
      </c>
    </row>
    <row r="2529" spans="1:10" ht="135" x14ac:dyDescent="0.25">
      <c r="A2529" s="1" t="str">
        <f>"2578-2020/27"</f>
        <v>2578-2020/27</v>
      </c>
      <c r="B2529" s="1" t="str">
        <f t="shared" si="443"/>
        <v>26.05.2020</v>
      </c>
      <c r="C2529" s="1" t="str">
        <f t="shared" si="441"/>
        <v>Закрито</v>
      </c>
      <c r="D252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29" s="1" t="str">
        <f t="shared" si="445"/>
        <v>Земельні питання</v>
      </c>
      <c r="F2529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29" s="1" t="str">
        <f>"14"</f>
        <v>14</v>
      </c>
      <c r="H2529" s="1" t="str">
        <f>"Результат"</f>
        <v>Результат</v>
      </c>
      <c r="I2529" s="1" t="str">
        <f>"Позитивний"</f>
        <v>Позитивний</v>
      </c>
      <c r="J2529" s="1" t="str">
        <f>"Ні"</f>
        <v>Ні</v>
      </c>
    </row>
    <row r="2530" spans="1:10" ht="135" x14ac:dyDescent="0.25">
      <c r="A2530" s="1" t="str">
        <f>"2587-2020/27"</f>
        <v>2587-2020/27</v>
      </c>
      <c r="B2530" s="1" t="str">
        <f t="shared" si="443"/>
        <v>26.05.2020</v>
      </c>
      <c r="C2530" s="1" t="str">
        <f t="shared" si="441"/>
        <v>Закрито</v>
      </c>
      <c r="D2530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530" s="1" t="str">
        <f t="shared" si="445"/>
        <v>Земельні питання</v>
      </c>
      <c r="F2530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30" s="1" t="str">
        <f>"14"</f>
        <v>14</v>
      </c>
      <c r="H2530" s="1" t="str">
        <f>"Результат"</f>
        <v>Результат</v>
      </c>
      <c r="I2530" s="1" t="str">
        <f>"Позитивний"</f>
        <v>Позитивний</v>
      </c>
      <c r="J2530" s="1" t="str">
        <f>"Ні"</f>
        <v>Ні</v>
      </c>
    </row>
    <row r="2531" spans="1:10" ht="135" x14ac:dyDescent="0.25">
      <c r="A2531" s="1" t="str">
        <f>"2583-2020/27"</f>
        <v>2583-2020/27</v>
      </c>
      <c r="B2531" s="1" t="str">
        <f t="shared" si="443"/>
        <v>26.05.2020</v>
      </c>
      <c r="C2531" s="1" t="str">
        <f t="shared" si="441"/>
        <v>Закрито</v>
      </c>
      <c r="D2531" s="1" t="str">
        <f>"Виправлення технічної помилки у відомостях з Державного земельного кадастру, яка була допущена не з вини органу, що здійснює його ведення"</f>
        <v>Виправлення технічної помилки у відомостях з Державного земельного кадастру, яка була допущена не з вини органу, що здійснює його ведення</v>
      </c>
      <c r="E2531" s="1" t="str">
        <f t="shared" si="445"/>
        <v>Земельні питання</v>
      </c>
      <c r="F2531" s="1" t="str">
        <f t="shared" si="444"/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31" s="1" t="str">
        <f>"2"</f>
        <v>2</v>
      </c>
      <c r="H2531" s="1" t="str">
        <f>"Результат"</f>
        <v>Результат</v>
      </c>
      <c r="I2531" s="1" t="str">
        <f>"Позитивний"</f>
        <v>Позитивний</v>
      </c>
      <c r="J2531" s="1" t="str">
        <f>"Ні"</f>
        <v>Ні</v>
      </c>
    </row>
    <row r="2532" spans="1:10" ht="45" x14ac:dyDescent="0.25">
      <c r="A2532" s="1" t="str">
        <f>"2580-2020/27"</f>
        <v>2580-2020/27</v>
      </c>
      <c r="B2532" s="1" t="str">
        <f t="shared" si="443"/>
        <v>26.05.2020</v>
      </c>
      <c r="C2532" s="1" t="str">
        <f t="shared" si="441"/>
        <v>Закрито</v>
      </c>
      <c r="D2532" s="1" t="str">
        <f>"Зняття з реєстрації місця проживання"</f>
        <v>Зняття з реєстрації місця проживання</v>
      </c>
      <c r="E2532" s="1" t="str">
        <f>"Реєстрація місця проживання"</f>
        <v>Реєстрація місця проживання</v>
      </c>
      <c r="F2532" s="1" t="str">
        <f>"Відділ реєстрації Новокаховської міської ради"</f>
        <v>Відділ реєстрації Новокаховської міської ради</v>
      </c>
      <c r="G2532" s="1" t="str">
        <f>"1"</f>
        <v>1</v>
      </c>
      <c r="H2532" s="1" t="str">
        <f>"Результат"</f>
        <v>Результат</v>
      </c>
      <c r="I2532" s="1" t="str">
        <f>"Позитивний"</f>
        <v>Позитивний</v>
      </c>
      <c r="J2532" s="1" t="str">
        <f>"Так"</f>
        <v>Так</v>
      </c>
    </row>
    <row r="2533" spans="1:10" ht="135" x14ac:dyDescent="0.25">
      <c r="A2533" s="1" t="str">
        <f>"2592-2020/27"</f>
        <v>2592-2020/27</v>
      </c>
      <c r="B2533" s="1" t="str">
        <f t="shared" si="443"/>
        <v>26.05.2020</v>
      </c>
      <c r="C2533" s="1" t="str">
        <f t="shared" si="441"/>
        <v>Закрито</v>
      </c>
      <c r="D25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33" s="1" t="str">
        <f>"Земельні питання"</f>
        <v>Земельні питання</v>
      </c>
      <c r="F25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33" s="1" t="str">
        <f>"1"</f>
        <v>1</v>
      </c>
      <c r="H2533" s="1" t="str">
        <f>"Результат"</f>
        <v>Результат</v>
      </c>
      <c r="I2533" s="1" t="str">
        <f>"Позитивний"</f>
        <v>Позитивний</v>
      </c>
      <c r="J2533" s="1" t="str">
        <f>"Так"</f>
        <v>Так</v>
      </c>
    </row>
    <row r="2534" spans="1:10" ht="45" x14ac:dyDescent="0.25">
      <c r="A2534" s="1" t="str">
        <f>"2567-2020/27"</f>
        <v>2567-2020/27</v>
      </c>
      <c r="B2534" s="1" t="str">
        <f t="shared" si="443"/>
        <v>26.05.2020</v>
      </c>
      <c r="C2534" s="1" t="str">
        <f t="shared" si="441"/>
        <v>Закрито</v>
      </c>
      <c r="D2534" s="1" t="str">
        <f>"Реєстрація місця проживання особи"</f>
        <v>Реєстрація місця проживання особи</v>
      </c>
      <c r="E2534" s="1" t="str">
        <f>"Реєстрація місця проживання"</f>
        <v>Реєстрація місця проживання</v>
      </c>
      <c r="F2534" s="1" t="str">
        <f>"Відділ реєстрації Новокаховської міської ради"</f>
        <v>Відділ реєстрації Новокаховської міської ради</v>
      </c>
      <c r="G2534" s="1" t="str">
        <f>"1"</f>
        <v>1</v>
      </c>
      <c r="H2534" s="1" t="str">
        <f>"Результат"</f>
        <v>Результат</v>
      </c>
      <c r="I2534" s="1" t="str">
        <f>"Мотивована відмова"</f>
        <v>Мотивована відмова</v>
      </c>
      <c r="J2534" s="1" t="str">
        <f>"Так"</f>
        <v>Так</v>
      </c>
    </row>
    <row r="2535" spans="1:10" ht="135" x14ac:dyDescent="0.25">
      <c r="A2535" s="1" t="str">
        <f>"2582-2020/27"</f>
        <v>2582-2020/27</v>
      </c>
      <c r="B2535" s="1" t="str">
        <f t="shared" si="443"/>
        <v>26.05.2020</v>
      </c>
      <c r="C2535" s="1" t="str">
        <f t="shared" si="441"/>
        <v>Закрито</v>
      </c>
      <c r="D253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35" s="1" t="str">
        <f>"Земельні питання"</f>
        <v>Земельні питання</v>
      </c>
      <c r="F25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35" s="1" t="str">
        <f>"14"</f>
        <v>14</v>
      </c>
      <c r="H2535" s="1" t="str">
        <f>"Результат"</f>
        <v>Результат</v>
      </c>
      <c r="I2535" s="1" t="str">
        <f>"Позитивний"</f>
        <v>Позитивний</v>
      </c>
      <c r="J2535" s="1" t="str">
        <f>"Ні"</f>
        <v>Ні</v>
      </c>
    </row>
    <row r="2536" spans="1:10" ht="135" x14ac:dyDescent="0.25">
      <c r="A2536" s="1" t="str">
        <f>"2557-2020/27"</f>
        <v>2557-2020/27</v>
      </c>
      <c r="B2536" s="1" t="str">
        <f t="shared" si="443"/>
        <v>26.05.2020</v>
      </c>
      <c r="C2536" s="1" t="str">
        <f t="shared" si="441"/>
        <v>Закрито</v>
      </c>
      <c r="D253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36" s="1" t="str">
        <f>"Земельні питання"</f>
        <v>Земельні питання</v>
      </c>
      <c r="F25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36" s="1" t="str">
        <f>"1"</f>
        <v>1</v>
      </c>
      <c r="H2536" s="1" t="str">
        <f>"Результат"</f>
        <v>Результат</v>
      </c>
      <c r="I2536" s="1" t="str">
        <f>"Мотивована відмова"</f>
        <v>Мотивована відмова</v>
      </c>
      <c r="J2536" s="1" t="str">
        <f>"Так"</f>
        <v>Так</v>
      </c>
    </row>
    <row r="2537" spans="1:10" ht="135" x14ac:dyDescent="0.25">
      <c r="A2537" s="1" t="str">
        <f>"2561-2020/27"</f>
        <v>2561-2020/27</v>
      </c>
      <c r="B2537" s="1" t="str">
        <f t="shared" si="443"/>
        <v>26.05.2020</v>
      </c>
      <c r="C2537" s="1" t="str">
        <f t="shared" si="441"/>
        <v>Закрито</v>
      </c>
      <c r="D25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37" s="1" t="str">
        <f>"Земельні питання"</f>
        <v>Земельні питання</v>
      </c>
      <c r="F25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37" s="1" t="str">
        <f>"1"</f>
        <v>1</v>
      </c>
      <c r="H2537" s="1" t="str">
        <f>"Результат"</f>
        <v>Результат</v>
      </c>
      <c r="I2537" s="1" t="str">
        <f>"Позитивний"</f>
        <v>Позитивний</v>
      </c>
      <c r="J2537" s="1" t="str">
        <f>"Так"</f>
        <v>Так</v>
      </c>
    </row>
    <row r="2538" spans="1:10" ht="45" x14ac:dyDescent="0.25">
      <c r="A2538" s="1" t="str">
        <f>"2571-2020/27"</f>
        <v>2571-2020/27</v>
      </c>
      <c r="B2538" s="1" t="str">
        <f t="shared" si="443"/>
        <v>26.05.2020</v>
      </c>
      <c r="C2538" s="1" t="str">
        <f t="shared" si="441"/>
        <v>Закрито</v>
      </c>
      <c r="D2538" s="1" t="str">
        <f>"Реєстрація місця проживання особи"</f>
        <v>Реєстрація місця проживання особи</v>
      </c>
      <c r="E2538" s="1" t="str">
        <f>"Реєстрація місця проживання"</f>
        <v>Реєстрація місця проживання</v>
      </c>
      <c r="F2538" s="1" t="str">
        <f>"Відділ реєстрації Новокаховської міської ради"</f>
        <v>Відділ реєстрації Новокаховської міської ради</v>
      </c>
      <c r="G2538" s="1" t="str">
        <f>"1"</f>
        <v>1</v>
      </c>
      <c r="H2538" s="1" t="str">
        <f>"Результат"</f>
        <v>Результат</v>
      </c>
      <c r="I2538" s="1" t="str">
        <f>"Мотивована відмова"</f>
        <v>Мотивована відмова</v>
      </c>
      <c r="J2538" s="1" t="str">
        <f>"Так"</f>
        <v>Так</v>
      </c>
    </row>
    <row r="2539" spans="1:10" ht="105" x14ac:dyDescent="0.25">
      <c r="A2539" s="1" t="str">
        <f>"2572-2020/27"</f>
        <v>2572-2020/27</v>
      </c>
      <c r="B2539" s="1" t="str">
        <f t="shared" si="443"/>
        <v>26.05.2020</v>
      </c>
      <c r="C2539" s="1" t="str">
        <f t="shared" si="441"/>
        <v>Закрито</v>
      </c>
      <c r="D253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39" s="1" t="str">
        <f>"Земельні питання"</f>
        <v>Земельні питання</v>
      </c>
      <c r="F253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539" s="1" t="str">
        <f>"1"</f>
        <v>1</v>
      </c>
      <c r="H2539" s="1" t="str">
        <f>"Результат"</f>
        <v>Результат</v>
      </c>
      <c r="I2539" s="1" t="str">
        <f>"Позитивний"</f>
        <v>Позитивний</v>
      </c>
      <c r="J2539" s="1" t="str">
        <f>"Так"</f>
        <v>Так</v>
      </c>
    </row>
    <row r="2540" spans="1:10" ht="90" x14ac:dyDescent="0.25">
      <c r="A2540" s="1" t="str">
        <f>"2575-2020/27"</f>
        <v>2575-2020/27</v>
      </c>
      <c r="B2540" s="1" t="str">
        <f t="shared" si="443"/>
        <v>26.05.2020</v>
      </c>
      <c r="C2540" s="1" t="str">
        <f t="shared" si="441"/>
        <v>Закрито</v>
      </c>
      <c r="D2540" s="1" t="str">
        <f>"Внесення змін до повідомлення про початок виконання підготовчих чи будівельних робіт"</f>
        <v>Внесення змін до повідомлення про початок виконання підготовчих чи будівельних робіт</v>
      </c>
      <c r="E2540" s="1" t="str">
        <f>"Будівництво"</f>
        <v>Будівництво</v>
      </c>
      <c r="F254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540" s="1" t="str">
        <f>"30"</f>
        <v>30</v>
      </c>
      <c r="H2540" s="1" t="str">
        <f>"Результат"</f>
        <v>Результат</v>
      </c>
      <c r="I2540" s="1" t="str">
        <f>"Позитивний"</f>
        <v>Позитивний</v>
      </c>
      <c r="J2540" s="1" t="str">
        <f>"Ні"</f>
        <v>Ні</v>
      </c>
    </row>
    <row r="2541" spans="1:10" ht="105" x14ac:dyDescent="0.25">
      <c r="A2541" s="1" t="str">
        <f>"2577-2020/27"</f>
        <v>2577-2020/27</v>
      </c>
      <c r="B2541" s="1" t="str">
        <f t="shared" si="443"/>
        <v>26.05.2020</v>
      </c>
      <c r="C2541" s="1" t="str">
        <f t="shared" si="441"/>
        <v>Закрито</v>
      </c>
      <c r="D254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41" s="1" t="str">
        <f>"Земельні питання"</f>
        <v>Земельні питання</v>
      </c>
      <c r="F254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541" s="1" t="str">
        <f t="shared" ref="G2541:G2546" si="446">"1"</f>
        <v>1</v>
      </c>
      <c r="H2541" s="1" t="str">
        <f>"Результат"</f>
        <v>Результат</v>
      </c>
      <c r="I2541" s="1" t="str">
        <f>"Позитивний"</f>
        <v>Позитивний</v>
      </c>
      <c r="J2541" s="1" t="str">
        <f t="shared" ref="J2541:J2546" si="447">"Так"</f>
        <v>Так</v>
      </c>
    </row>
    <row r="2542" spans="1:10" ht="45" x14ac:dyDescent="0.25">
      <c r="A2542" s="1" t="str">
        <f>"2555-2020/27"</f>
        <v>2555-2020/27</v>
      </c>
      <c r="B2542" s="1" t="str">
        <f t="shared" si="443"/>
        <v>26.05.2020</v>
      </c>
      <c r="C2542" s="1" t="str">
        <f t="shared" si="441"/>
        <v>Закрито</v>
      </c>
      <c r="D2542" s="1" t="str">
        <f>"Реєстрація місця проживання особи"</f>
        <v>Реєстрація місця проживання особи</v>
      </c>
      <c r="E2542" s="1" t="str">
        <f>"Реєстрація місця проживання"</f>
        <v>Реєстрація місця проживання</v>
      </c>
      <c r="F2542" s="1" t="str">
        <f>"Відділ реєстрації Новокаховської міської ради"</f>
        <v>Відділ реєстрації Новокаховської міської ради</v>
      </c>
      <c r="G2542" s="1" t="str">
        <f t="shared" si="446"/>
        <v>1</v>
      </c>
      <c r="H2542" s="1" t="str">
        <f>"Результат"</f>
        <v>Результат</v>
      </c>
      <c r="I2542" s="1" t="str">
        <f>"Позитивний"</f>
        <v>Позитивний</v>
      </c>
      <c r="J2542" s="1" t="str">
        <f t="shared" si="447"/>
        <v>Так</v>
      </c>
    </row>
    <row r="2543" spans="1:10" ht="45" x14ac:dyDescent="0.25">
      <c r="A2543" s="1" t="str">
        <f>"2568-2020/27"</f>
        <v>2568-2020/27</v>
      </c>
      <c r="B2543" s="1" t="str">
        <f t="shared" si="443"/>
        <v>26.05.2020</v>
      </c>
      <c r="C2543" s="1" t="str">
        <f t="shared" si="441"/>
        <v>Закрито</v>
      </c>
      <c r="D2543" s="1" t="str">
        <f>"Реєстрація місця проживання особи"</f>
        <v>Реєстрація місця проживання особи</v>
      </c>
      <c r="E2543" s="1" t="str">
        <f>"Реєстрація місця проживання"</f>
        <v>Реєстрація місця проживання</v>
      </c>
      <c r="F2543" s="1" t="str">
        <f>"Відділ реєстрації Новокаховської міської ради"</f>
        <v>Відділ реєстрації Новокаховської міської ради</v>
      </c>
      <c r="G2543" s="1" t="str">
        <f t="shared" si="446"/>
        <v>1</v>
      </c>
      <c r="H2543" s="1" t="str">
        <f>"Результат"</f>
        <v>Результат</v>
      </c>
      <c r="I2543" s="1" t="str">
        <f>"Мотивована відмова"</f>
        <v>Мотивована відмова</v>
      </c>
      <c r="J2543" s="1" t="str">
        <f t="shared" si="447"/>
        <v>Так</v>
      </c>
    </row>
    <row r="2544" spans="1:10" ht="45" x14ac:dyDescent="0.25">
      <c r="A2544" s="1" t="str">
        <f>"2566-2020/27"</f>
        <v>2566-2020/27</v>
      </c>
      <c r="B2544" s="1" t="str">
        <f t="shared" si="443"/>
        <v>26.05.2020</v>
      </c>
      <c r="C2544" s="1" t="str">
        <f t="shared" si="441"/>
        <v>Закрито</v>
      </c>
      <c r="D2544" s="1" t="str">
        <f>"Реєстрація місця проживання особи"</f>
        <v>Реєстрація місця проживання особи</v>
      </c>
      <c r="E2544" s="1" t="str">
        <f>"Реєстрація місця проживання"</f>
        <v>Реєстрація місця проживання</v>
      </c>
      <c r="F2544" s="1" t="str">
        <f>"Відділ реєстрації Новокаховської міської ради"</f>
        <v>Відділ реєстрації Новокаховської міської ради</v>
      </c>
      <c r="G2544" s="1" t="str">
        <f t="shared" si="446"/>
        <v>1</v>
      </c>
      <c r="H2544" s="1" t="str">
        <f>"Результат"</f>
        <v>Результат</v>
      </c>
      <c r="I2544" s="1" t="str">
        <f>"Позитивний"</f>
        <v>Позитивний</v>
      </c>
      <c r="J2544" s="1" t="str">
        <f t="shared" si="447"/>
        <v>Так</v>
      </c>
    </row>
    <row r="2545" spans="1:10" ht="45" x14ac:dyDescent="0.25">
      <c r="A2545" s="1" t="str">
        <f>"2570-2020/27"</f>
        <v>2570-2020/27</v>
      </c>
      <c r="B2545" s="1" t="str">
        <f t="shared" si="443"/>
        <v>26.05.2020</v>
      </c>
      <c r="C2545" s="1" t="str">
        <f t="shared" si="441"/>
        <v>Закрито</v>
      </c>
      <c r="D2545" s="1" t="str">
        <f>"Реєстрація місця проживання особи"</f>
        <v>Реєстрація місця проживання особи</v>
      </c>
      <c r="E2545" s="1" t="str">
        <f>"Реєстрація місця проживання"</f>
        <v>Реєстрація місця проживання</v>
      </c>
      <c r="F2545" s="1" t="str">
        <f>"Відділ реєстрації Новокаховської міської ради"</f>
        <v>Відділ реєстрації Новокаховської міської ради</v>
      </c>
      <c r="G2545" s="1" t="str">
        <f t="shared" si="446"/>
        <v>1</v>
      </c>
      <c r="H2545" s="1" t="str">
        <f>"Результат"</f>
        <v>Результат</v>
      </c>
      <c r="I2545" s="1" t="str">
        <f>"Позитивний"</f>
        <v>Позитивний</v>
      </c>
      <c r="J2545" s="1" t="str">
        <f t="shared" si="447"/>
        <v>Так</v>
      </c>
    </row>
    <row r="2546" spans="1:10" ht="135" x14ac:dyDescent="0.25">
      <c r="A2546" s="1" t="str">
        <f>"2591-2020/27"</f>
        <v>2591-2020/27</v>
      </c>
      <c r="B2546" s="1" t="str">
        <f t="shared" si="443"/>
        <v>26.05.2020</v>
      </c>
      <c r="C2546" s="1" t="str">
        <f t="shared" si="441"/>
        <v>Закрито</v>
      </c>
      <c r="D254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46" s="1" t="str">
        <f>"Земельні питання"</f>
        <v>Земельні питання</v>
      </c>
      <c r="F25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46" s="1" t="str">
        <f t="shared" si="446"/>
        <v>1</v>
      </c>
      <c r="H2546" s="1" t="str">
        <f>"Результат"</f>
        <v>Результат</v>
      </c>
      <c r="I2546" s="1" t="str">
        <f>"Позитивний"</f>
        <v>Позитивний</v>
      </c>
      <c r="J2546" s="1" t="str">
        <f t="shared" si="447"/>
        <v>Так</v>
      </c>
    </row>
    <row r="2547" spans="1:10" ht="90" x14ac:dyDescent="0.25">
      <c r="A2547" s="1" t="str">
        <f>"2563-2020/27"</f>
        <v>2563-2020/27</v>
      </c>
      <c r="B2547" s="1" t="str">
        <f t="shared" si="443"/>
        <v>26.05.2020</v>
      </c>
      <c r="C2547" s="1" t="str">
        <f t="shared" si="441"/>
        <v>Закрито</v>
      </c>
      <c r="D254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47" s="1" t="str">
        <f>"Інші послуги"</f>
        <v>Інші послуги</v>
      </c>
      <c r="F254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47" s="1" t="str">
        <f>"5"</f>
        <v>5</v>
      </c>
      <c r="H2547" s="1" t="str">
        <f>"Результат"</f>
        <v>Результат</v>
      </c>
      <c r="I2547" s="1" t="str">
        <f>"Позитивний"</f>
        <v>Позитивний</v>
      </c>
      <c r="J2547" s="1" t="str">
        <f>"Ні"</f>
        <v>Ні</v>
      </c>
    </row>
    <row r="2548" spans="1:10" ht="135" x14ac:dyDescent="0.25">
      <c r="A2548" s="1" t="str">
        <f>"2564-2020/27"</f>
        <v>2564-2020/27</v>
      </c>
      <c r="B2548" s="1" t="str">
        <f t="shared" si="443"/>
        <v>26.05.2020</v>
      </c>
      <c r="C2548" s="1" t="str">
        <f t="shared" si="441"/>
        <v>Закрито</v>
      </c>
      <c r="D254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48" s="1" t="str">
        <f>"Земельні питання"</f>
        <v>Земельні питання</v>
      </c>
      <c r="F25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48" s="1" t="str">
        <f>"3"</f>
        <v>3</v>
      </c>
      <c r="H2548" s="1" t="str">
        <f>"Результат"</f>
        <v>Результат</v>
      </c>
      <c r="I2548" s="1" t="str">
        <f>"Позитивний"</f>
        <v>Позитивний</v>
      </c>
      <c r="J2548" s="1" t="str">
        <f>"Ні"</f>
        <v>Ні</v>
      </c>
    </row>
    <row r="2549" spans="1:10" ht="45" x14ac:dyDescent="0.25">
      <c r="A2549" s="1" t="str">
        <f>"2573-2020/27"</f>
        <v>2573-2020/27</v>
      </c>
      <c r="B2549" s="1" t="str">
        <f t="shared" si="443"/>
        <v>26.05.2020</v>
      </c>
      <c r="C2549" s="1" t="str">
        <f t="shared" si="441"/>
        <v>Закрито</v>
      </c>
      <c r="D2549" s="1" t="str">
        <f>"Зняття з реєстрації місця проживання"</f>
        <v>Зняття з реєстрації місця проживання</v>
      </c>
      <c r="E2549" s="1" t="str">
        <f>"Реєстрація місця проживання"</f>
        <v>Реєстрація місця проживання</v>
      </c>
      <c r="F2549" s="1" t="str">
        <f>"Відділ реєстрації Новокаховської міської ради"</f>
        <v>Відділ реєстрації Новокаховської міської ради</v>
      </c>
      <c r="G2549" s="1" t="str">
        <f>"1"</f>
        <v>1</v>
      </c>
      <c r="H2549" s="1" t="str">
        <f>"Результат"</f>
        <v>Результат</v>
      </c>
      <c r="I2549" s="1" t="str">
        <f>"Позитивний"</f>
        <v>Позитивний</v>
      </c>
      <c r="J2549" s="1" t="str">
        <f>"Так"</f>
        <v>Так</v>
      </c>
    </row>
    <row r="2550" spans="1:10" ht="45" x14ac:dyDescent="0.25">
      <c r="A2550" s="1" t="str">
        <f>"2574-2020/27"</f>
        <v>2574-2020/27</v>
      </c>
      <c r="B2550" s="1" t="str">
        <f t="shared" si="443"/>
        <v>26.05.2020</v>
      </c>
      <c r="C2550" s="1" t="str">
        <f t="shared" si="441"/>
        <v>Закрито</v>
      </c>
      <c r="D2550" s="1" t="str">
        <f>"Зняття з реєстрації місця проживання"</f>
        <v>Зняття з реєстрації місця проживання</v>
      </c>
      <c r="E2550" s="1" t="str">
        <f>"Реєстрація місця проживання"</f>
        <v>Реєстрація місця проживання</v>
      </c>
      <c r="F2550" s="1" t="str">
        <f>"Відділ реєстрації Новокаховської міської ради"</f>
        <v>Відділ реєстрації Новокаховської міської ради</v>
      </c>
      <c r="G2550" s="1" t="str">
        <f>"1"</f>
        <v>1</v>
      </c>
      <c r="H2550" s="1" t="str">
        <f>"Результат"</f>
        <v>Результат</v>
      </c>
      <c r="I2550" s="1" t="str">
        <f>"Позитивний"</f>
        <v>Позитивний</v>
      </c>
      <c r="J2550" s="1" t="str">
        <f>"Так"</f>
        <v>Так</v>
      </c>
    </row>
    <row r="2551" spans="1:10" ht="135" x14ac:dyDescent="0.25">
      <c r="A2551" s="1" t="str">
        <f>"2588-2020/27"</f>
        <v>2588-2020/27</v>
      </c>
      <c r="B2551" s="1" t="str">
        <f t="shared" si="443"/>
        <v>26.05.2020</v>
      </c>
      <c r="C2551" s="1" t="str">
        <f t="shared" si="441"/>
        <v>Закрито</v>
      </c>
      <c r="D2551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551" s="1" t="str">
        <f>"Земельні питання"</f>
        <v>Земельні питання</v>
      </c>
      <c r="F255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51" s="1" t="str">
        <f>"14"</f>
        <v>14</v>
      </c>
      <c r="H2551" s="1" t="str">
        <f>"Результат"</f>
        <v>Результат</v>
      </c>
      <c r="I2551" s="1" t="str">
        <f>"Позитивний"</f>
        <v>Позитивний</v>
      </c>
      <c r="J2551" s="1" t="str">
        <f>"Ні"</f>
        <v>Ні</v>
      </c>
    </row>
    <row r="2552" spans="1:10" ht="105" x14ac:dyDescent="0.25">
      <c r="A2552" s="1" t="str">
        <f>"2569-2020/27"</f>
        <v>2569-2020/27</v>
      </c>
      <c r="B2552" s="1" t="str">
        <f t="shared" si="443"/>
        <v>26.05.2020</v>
      </c>
      <c r="C2552" s="1" t="str">
        <f t="shared" si="441"/>
        <v>Закрито</v>
      </c>
      <c r="D25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52" s="1" t="str">
        <f>"Земельні питання"</f>
        <v>Земельні питання</v>
      </c>
      <c r="F255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552" s="1" t="str">
        <f>"1"</f>
        <v>1</v>
      </c>
      <c r="H2552" s="1" t="str">
        <f>"Результат"</f>
        <v>Результат</v>
      </c>
      <c r="I2552" s="1" t="str">
        <f>"Позитивний"</f>
        <v>Позитивний</v>
      </c>
      <c r="J2552" s="1" t="str">
        <f>"Так"</f>
        <v>Так</v>
      </c>
    </row>
    <row r="2553" spans="1:10" ht="45" x14ac:dyDescent="0.25">
      <c r="A2553" s="1" t="str">
        <f>"2615-2020/27"</f>
        <v>2615-2020/27</v>
      </c>
      <c r="B2553" s="1" t="str">
        <f t="shared" ref="B2553:B2587" si="448">"27.05.2020"</f>
        <v>27.05.2020</v>
      </c>
      <c r="C2553" s="1" t="str">
        <f t="shared" si="441"/>
        <v>Закрито</v>
      </c>
      <c r="D2553" s="1" t="str">
        <f>"Реєстрація місця проживання особи"</f>
        <v>Реєстрація місця проживання особи</v>
      </c>
      <c r="E2553" s="1" t="str">
        <f>"Реєстрація місця проживання"</f>
        <v>Реєстрація місця проживання</v>
      </c>
      <c r="F2553" s="1" t="str">
        <f>"Відділ реєстрації Новокаховської міської ради"</f>
        <v>Відділ реєстрації Новокаховської міської ради</v>
      </c>
      <c r="G2553" s="1" t="str">
        <f>"1"</f>
        <v>1</v>
      </c>
      <c r="H2553" s="1" t="str">
        <f>"Результат"</f>
        <v>Результат</v>
      </c>
      <c r="I2553" s="1" t="str">
        <f>"Позитивний"</f>
        <v>Позитивний</v>
      </c>
      <c r="J2553" s="1" t="str">
        <f>"Так"</f>
        <v>Так</v>
      </c>
    </row>
    <row r="2554" spans="1:10" ht="90" x14ac:dyDescent="0.25">
      <c r="A2554" s="1" t="str">
        <f>"2597-2020/27"</f>
        <v>2597-2020/27</v>
      </c>
      <c r="B2554" s="1" t="str">
        <f t="shared" si="448"/>
        <v>27.05.2020</v>
      </c>
      <c r="C2554" s="1" t="str">
        <f t="shared" si="441"/>
        <v>Закрито</v>
      </c>
      <c r="D255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54" s="1" t="str">
        <f>"Інші послуги"</f>
        <v>Інші послуги</v>
      </c>
      <c r="F255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54" s="1" t="str">
        <f>"5"</f>
        <v>5</v>
      </c>
      <c r="H2554" s="1" t="str">
        <f>"Результат"</f>
        <v>Результат</v>
      </c>
      <c r="I2554" s="1" t="str">
        <f>"Позитивний"</f>
        <v>Позитивний</v>
      </c>
      <c r="J2554" s="1" t="str">
        <f>"Ні"</f>
        <v>Ні</v>
      </c>
    </row>
    <row r="2555" spans="1:10" ht="135" x14ac:dyDescent="0.25">
      <c r="A2555" s="1" t="str">
        <f>"2624-2020/27"</f>
        <v>2624-2020/27</v>
      </c>
      <c r="B2555" s="1" t="str">
        <f t="shared" si="448"/>
        <v>27.05.2020</v>
      </c>
      <c r="C2555" s="1" t="str">
        <f t="shared" ref="C2555:C2584" si="449">"Закрито"</f>
        <v>Закрито</v>
      </c>
      <c r="D255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55" s="1" t="str">
        <f>"Земельні питання"</f>
        <v>Земельні питання</v>
      </c>
      <c r="F25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55" s="1" t="str">
        <f>"3"</f>
        <v>3</v>
      </c>
      <c r="H2555" s="1" t="str">
        <f>"Результат"</f>
        <v>Результат</v>
      </c>
      <c r="I2555" s="1" t="str">
        <f>"Позитивний"</f>
        <v>Позитивний</v>
      </c>
      <c r="J2555" s="1" t="str">
        <f>"Ні"</f>
        <v>Ні</v>
      </c>
    </row>
    <row r="2556" spans="1:10" ht="45" x14ac:dyDescent="0.25">
      <c r="A2556" s="1" t="str">
        <f>"2598-2020/27"</f>
        <v>2598-2020/27</v>
      </c>
      <c r="B2556" s="1" t="str">
        <f t="shared" si="448"/>
        <v>27.05.2020</v>
      </c>
      <c r="C2556" s="1" t="str">
        <f t="shared" si="449"/>
        <v>Закрито</v>
      </c>
      <c r="D2556" s="1" t="str">
        <f>"Реєстрація місця проживання особи"</f>
        <v>Реєстрація місця проживання особи</v>
      </c>
      <c r="E2556" s="1" t="str">
        <f>"Реєстрація місця проживання"</f>
        <v>Реєстрація місця проживання</v>
      </c>
      <c r="F2556" s="1" t="str">
        <f>"Відділ реєстрації Новокаховської міської ради"</f>
        <v>Відділ реєстрації Новокаховської міської ради</v>
      </c>
      <c r="G2556" s="1" t="str">
        <f>"1"</f>
        <v>1</v>
      </c>
      <c r="H2556" s="1" t="str">
        <f>"Результат"</f>
        <v>Результат</v>
      </c>
      <c r="I2556" s="1" t="str">
        <f>"Позитивний"</f>
        <v>Позитивний</v>
      </c>
      <c r="J2556" s="1" t="str">
        <f>"Так"</f>
        <v>Так</v>
      </c>
    </row>
    <row r="2557" spans="1:10" ht="135" x14ac:dyDescent="0.25">
      <c r="A2557" s="1" t="str">
        <f>"2625-2020/27"</f>
        <v>2625-2020/27</v>
      </c>
      <c r="B2557" s="1" t="str">
        <f t="shared" si="448"/>
        <v>27.05.2020</v>
      </c>
      <c r="C2557" s="1" t="str">
        <f t="shared" si="449"/>
        <v>Закрито</v>
      </c>
      <c r="D25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57" s="1" t="str">
        <f>"Земельні питання"</f>
        <v>Земельні питання</v>
      </c>
      <c r="F25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57" s="1" t="str">
        <f>"3"</f>
        <v>3</v>
      </c>
      <c r="H2557" s="1" t="str">
        <f>"Результат"</f>
        <v>Результат</v>
      </c>
      <c r="I2557" s="1" t="str">
        <f>"Позитивний"</f>
        <v>Позитивний</v>
      </c>
      <c r="J2557" s="1" t="str">
        <f>"Ні"</f>
        <v>Ні</v>
      </c>
    </row>
    <row r="2558" spans="1:10" ht="105" x14ac:dyDescent="0.25">
      <c r="A2558" s="1" t="str">
        <f>"test-2705-0817"</f>
        <v>test-2705-0817</v>
      </c>
      <c r="B2558" s="1" t="str">
        <f t="shared" si="448"/>
        <v>27.05.2020</v>
      </c>
      <c r="C2558" s="1" t="str">
        <f t="shared" si="449"/>
        <v>Закрито</v>
      </c>
      <c r="D25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58" s="1" t="str">
        <f>"Земельні питання"</f>
        <v>Земельні питання</v>
      </c>
      <c r="F255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558" s="1" t="str">
        <f t="shared" ref="G2558:G2566" si="450">"1"</f>
        <v>1</v>
      </c>
      <c r="H2558" s="1" t="str">
        <f>"Результат"</f>
        <v>Результат</v>
      </c>
      <c r="I2558" s="1" t="str">
        <f>"Позитивний"</f>
        <v>Позитивний</v>
      </c>
      <c r="J2558" s="1" t="str">
        <f>"Ні"</f>
        <v>Ні</v>
      </c>
    </row>
    <row r="2559" spans="1:10" ht="135" x14ac:dyDescent="0.25">
      <c r="A2559" s="1" t="str">
        <f>"2622-2020/27"</f>
        <v>2622-2020/27</v>
      </c>
      <c r="B2559" s="1" t="str">
        <f t="shared" si="448"/>
        <v>27.05.2020</v>
      </c>
      <c r="C2559" s="1" t="str">
        <f t="shared" si="449"/>
        <v>Закрито</v>
      </c>
      <c r="D25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59" s="1" t="str">
        <f>"Земельні питання"</f>
        <v>Земельні питання</v>
      </c>
      <c r="F25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59" s="1" t="str">
        <f t="shared" si="450"/>
        <v>1</v>
      </c>
      <c r="H2559" s="1" t="str">
        <f>"Результат"</f>
        <v>Результат</v>
      </c>
      <c r="I2559" s="1" t="str">
        <f>"Позитивний"</f>
        <v>Позитивний</v>
      </c>
      <c r="J2559" s="1" t="str">
        <f t="shared" ref="J2559:J2566" si="451">"Так"</f>
        <v>Так</v>
      </c>
    </row>
    <row r="2560" spans="1:10" ht="135" x14ac:dyDescent="0.25">
      <c r="A2560" s="1" t="str">
        <f>"2619-2020/27"</f>
        <v>2619-2020/27</v>
      </c>
      <c r="B2560" s="1" t="str">
        <f t="shared" si="448"/>
        <v>27.05.2020</v>
      </c>
      <c r="C2560" s="1" t="str">
        <f t="shared" si="449"/>
        <v>Закрито</v>
      </c>
      <c r="D25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60" s="1" t="str">
        <f>"Земельні питання"</f>
        <v>Земельні питання</v>
      </c>
      <c r="F25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60" s="1" t="str">
        <f t="shared" si="450"/>
        <v>1</v>
      </c>
      <c r="H2560" s="1" t="str">
        <f>"Результат"</f>
        <v>Результат</v>
      </c>
      <c r="I2560" s="1" t="str">
        <f>"Позитивний"</f>
        <v>Позитивний</v>
      </c>
      <c r="J2560" s="1" t="str">
        <f t="shared" si="451"/>
        <v>Так</v>
      </c>
    </row>
    <row r="2561" spans="1:10" ht="135" x14ac:dyDescent="0.25">
      <c r="A2561" s="1" t="str">
        <f>"2596-2020/27"</f>
        <v>2596-2020/27</v>
      </c>
      <c r="B2561" s="1" t="str">
        <f t="shared" si="448"/>
        <v>27.05.2020</v>
      </c>
      <c r="C2561" s="1" t="str">
        <f t="shared" si="449"/>
        <v>Закрито</v>
      </c>
      <c r="D25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61" s="1" t="str">
        <f>"Земельні питання"</f>
        <v>Земельні питання</v>
      </c>
      <c r="F25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61" s="1" t="str">
        <f t="shared" si="450"/>
        <v>1</v>
      </c>
      <c r="H2561" s="1" t="str">
        <f>"Результат"</f>
        <v>Результат</v>
      </c>
      <c r="I2561" s="1" t="str">
        <f>"Позитивний"</f>
        <v>Позитивний</v>
      </c>
      <c r="J2561" s="1" t="str">
        <f t="shared" si="451"/>
        <v>Так</v>
      </c>
    </row>
    <row r="2562" spans="1:10" ht="45" x14ac:dyDescent="0.25">
      <c r="A2562" s="1" t="str">
        <f>"2614-2020/27"</f>
        <v>2614-2020/27</v>
      </c>
      <c r="B2562" s="1" t="str">
        <f t="shared" si="448"/>
        <v>27.05.2020</v>
      </c>
      <c r="C2562" s="1" t="str">
        <f t="shared" si="449"/>
        <v>Закрито</v>
      </c>
      <c r="D2562" s="1" t="str">
        <f>"Зняття з реєстрації місця проживання"</f>
        <v>Зняття з реєстрації місця проживання</v>
      </c>
      <c r="E2562" s="1" t="str">
        <f>"Реєстрація місця проживання"</f>
        <v>Реєстрація місця проживання</v>
      </c>
      <c r="F2562" s="1" t="str">
        <f>"Відділ реєстрації Новокаховської міської ради"</f>
        <v>Відділ реєстрації Новокаховської міської ради</v>
      </c>
      <c r="G2562" s="1" t="str">
        <f t="shared" si="450"/>
        <v>1</v>
      </c>
      <c r="H2562" s="1" t="str">
        <f>"Результат"</f>
        <v>Результат</v>
      </c>
      <c r="I2562" s="1" t="str">
        <f>"Позитивний"</f>
        <v>Позитивний</v>
      </c>
      <c r="J2562" s="1" t="str">
        <f t="shared" si="451"/>
        <v>Так</v>
      </c>
    </row>
    <row r="2563" spans="1:10" ht="135" x14ac:dyDescent="0.25">
      <c r="A2563" s="1" t="str">
        <f>"2621-2020/27"</f>
        <v>2621-2020/27</v>
      </c>
      <c r="B2563" s="1" t="str">
        <f t="shared" si="448"/>
        <v>27.05.2020</v>
      </c>
      <c r="C2563" s="1" t="str">
        <f t="shared" si="449"/>
        <v>Закрито</v>
      </c>
      <c r="D256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63" s="1" t="str">
        <f>"Земельні питання"</f>
        <v>Земельні питання</v>
      </c>
      <c r="F25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63" s="1" t="str">
        <f t="shared" si="450"/>
        <v>1</v>
      </c>
      <c r="H2563" s="1" t="str">
        <f>"Результат"</f>
        <v>Результат</v>
      </c>
      <c r="I2563" s="1" t="str">
        <f>"Позитивний"</f>
        <v>Позитивний</v>
      </c>
      <c r="J2563" s="1" t="str">
        <f t="shared" si="451"/>
        <v>Так</v>
      </c>
    </row>
    <row r="2564" spans="1:10" ht="45" x14ac:dyDescent="0.25">
      <c r="A2564" s="1" t="str">
        <f>"2602-2020/27"</f>
        <v>2602-2020/27</v>
      </c>
      <c r="B2564" s="1" t="str">
        <f t="shared" si="448"/>
        <v>27.05.2020</v>
      </c>
      <c r="C2564" s="1" t="str">
        <f t="shared" si="449"/>
        <v>Закрито</v>
      </c>
      <c r="D2564" s="1" t="str">
        <f>"Зняття з реєстрації місця проживання"</f>
        <v>Зняття з реєстрації місця проживання</v>
      </c>
      <c r="E2564" s="1" t="str">
        <f>"Реєстрація місця проживання"</f>
        <v>Реєстрація місця проживання</v>
      </c>
      <c r="F2564" s="1" t="str">
        <f>"Відділ реєстрації Новокаховської міської ради"</f>
        <v>Відділ реєстрації Новокаховської міської ради</v>
      </c>
      <c r="G2564" s="1" t="str">
        <f t="shared" si="450"/>
        <v>1</v>
      </c>
      <c r="H2564" s="1" t="str">
        <f>"Результат"</f>
        <v>Результат</v>
      </c>
      <c r="I2564" s="1" t="str">
        <f>"Позитивний"</f>
        <v>Позитивний</v>
      </c>
      <c r="J2564" s="1" t="str">
        <f t="shared" si="451"/>
        <v>Так</v>
      </c>
    </row>
    <row r="2565" spans="1:10" ht="135" x14ac:dyDescent="0.25">
      <c r="A2565" s="1" t="str">
        <f>"2623-2020/27"</f>
        <v>2623-2020/27</v>
      </c>
      <c r="B2565" s="1" t="str">
        <f t="shared" si="448"/>
        <v>27.05.2020</v>
      </c>
      <c r="C2565" s="1" t="str">
        <f t="shared" si="449"/>
        <v>Закрито</v>
      </c>
      <c r="D25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65" s="1" t="str">
        <f>"Земельні питання"</f>
        <v>Земельні питання</v>
      </c>
      <c r="F25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65" s="1" t="str">
        <f t="shared" si="450"/>
        <v>1</v>
      </c>
      <c r="H2565" s="1" t="str">
        <f>"Результат"</f>
        <v>Результат</v>
      </c>
      <c r="I2565" s="1" t="str">
        <f>"Позитивний"</f>
        <v>Позитивний</v>
      </c>
      <c r="J2565" s="1" t="str">
        <f t="shared" si="451"/>
        <v>Так</v>
      </c>
    </row>
    <row r="2566" spans="1:10" ht="135" x14ac:dyDescent="0.25">
      <c r="A2566" s="1" t="str">
        <f>"2618-2020/27"</f>
        <v>2618-2020/27</v>
      </c>
      <c r="B2566" s="1" t="str">
        <f t="shared" si="448"/>
        <v>27.05.2020</v>
      </c>
      <c r="C2566" s="1" t="str">
        <f t="shared" si="449"/>
        <v>Закрито</v>
      </c>
      <c r="D256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66" s="1" t="str">
        <f>"Земельні питання"</f>
        <v>Земельні питання</v>
      </c>
      <c r="F25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66" s="1" t="str">
        <f t="shared" si="450"/>
        <v>1</v>
      </c>
      <c r="H2566" s="1" t="str">
        <f>"Результат"</f>
        <v>Результат</v>
      </c>
      <c r="I2566" s="1" t="str">
        <f>"Позитивний"</f>
        <v>Позитивний</v>
      </c>
      <c r="J2566" s="1" t="str">
        <f t="shared" si="451"/>
        <v>Так</v>
      </c>
    </row>
    <row r="2567" spans="1:10" ht="90" x14ac:dyDescent="0.25">
      <c r="A2567" s="1" t="str">
        <f>"2612-2020/27"</f>
        <v>2612-2020/27</v>
      </c>
      <c r="B2567" s="1" t="str">
        <f t="shared" si="448"/>
        <v>27.05.2020</v>
      </c>
      <c r="C2567" s="1" t="str">
        <f t="shared" si="449"/>
        <v>Закрито</v>
      </c>
      <c r="D256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67" s="1" t="str">
        <f>"Інші послуги"</f>
        <v>Інші послуги</v>
      </c>
      <c r="F256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67" s="1" t="str">
        <f>"5"</f>
        <v>5</v>
      </c>
      <c r="H2567" s="1" t="str">
        <f>"Результат"</f>
        <v>Результат</v>
      </c>
      <c r="I2567" s="1" t="str">
        <f>"Позитивний"</f>
        <v>Позитивний</v>
      </c>
      <c r="J2567" s="1" t="str">
        <f>"Ні"</f>
        <v>Ні</v>
      </c>
    </row>
    <row r="2568" spans="1:10" ht="135" x14ac:dyDescent="0.25">
      <c r="A2568" s="1" t="str">
        <f>"2609-2020/27"</f>
        <v>2609-2020/27</v>
      </c>
      <c r="B2568" s="1" t="str">
        <f t="shared" si="448"/>
        <v>27.05.2020</v>
      </c>
      <c r="C2568" s="1" t="str">
        <f t="shared" si="449"/>
        <v>Закрито</v>
      </c>
      <c r="D256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68" s="1" t="str">
        <f>"Земельні питання"</f>
        <v>Земельні питання</v>
      </c>
      <c r="F25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68" s="1" t="str">
        <f>"3"</f>
        <v>3</v>
      </c>
      <c r="H2568" s="1" t="str">
        <f>"Результат"</f>
        <v>Результат</v>
      </c>
      <c r="I2568" s="1" t="str">
        <f>"Мотивована відмова"</f>
        <v>Мотивована відмова</v>
      </c>
      <c r="J2568" s="1" t="str">
        <f>"Ні"</f>
        <v>Ні</v>
      </c>
    </row>
    <row r="2569" spans="1:10" ht="135" x14ac:dyDescent="0.25">
      <c r="A2569" s="1" t="str">
        <f>"2608-2020/27"</f>
        <v>2608-2020/27</v>
      </c>
      <c r="B2569" s="1" t="str">
        <f t="shared" si="448"/>
        <v>27.05.2020</v>
      </c>
      <c r="C2569" s="1" t="str">
        <f t="shared" si="449"/>
        <v>Закрито</v>
      </c>
      <c r="D25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69" s="1" t="str">
        <f>"Земельні питання"</f>
        <v>Земельні питання</v>
      </c>
      <c r="F25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69" s="1" t="str">
        <f>"3"</f>
        <v>3</v>
      </c>
      <c r="H2569" s="1" t="str">
        <f>"Результат"</f>
        <v>Результат</v>
      </c>
      <c r="I2569" s="1" t="str">
        <f>"Позитивний"</f>
        <v>Позитивний</v>
      </c>
      <c r="J2569" s="1" t="str">
        <f>"Ні"</f>
        <v>Ні</v>
      </c>
    </row>
    <row r="2570" spans="1:10" ht="45" x14ac:dyDescent="0.25">
      <c r="A2570" s="1" t="str">
        <f>"2600-2020/27"</f>
        <v>2600-2020/27</v>
      </c>
      <c r="B2570" s="1" t="str">
        <f t="shared" si="448"/>
        <v>27.05.2020</v>
      </c>
      <c r="C2570" s="1" t="str">
        <f t="shared" si="449"/>
        <v>Закрито</v>
      </c>
      <c r="D2570" s="1" t="str">
        <f>"Реєстрація місця проживання особи"</f>
        <v>Реєстрація місця проживання особи</v>
      </c>
      <c r="E2570" s="1" t="str">
        <f>"Реєстрація місця проживання"</f>
        <v>Реєстрація місця проживання</v>
      </c>
      <c r="F2570" s="1" t="str">
        <f>"Відділ реєстрації Новокаховської міської ради"</f>
        <v>Відділ реєстрації Новокаховської міської ради</v>
      </c>
      <c r="G2570" s="1" t="str">
        <f>"1"</f>
        <v>1</v>
      </c>
      <c r="H2570" s="1" t="str">
        <f>"Результат"</f>
        <v>Результат</v>
      </c>
      <c r="I2570" s="1" t="str">
        <f>"Позитивний"</f>
        <v>Позитивний</v>
      </c>
      <c r="J2570" s="1" t="str">
        <f>"Так"</f>
        <v>Так</v>
      </c>
    </row>
    <row r="2571" spans="1:10" ht="120" x14ac:dyDescent="0.25">
      <c r="A2571" s="1" t="str">
        <f>"2593-2020/27"</f>
        <v>2593-2020/27</v>
      </c>
      <c r="B2571" s="1" t="str">
        <f t="shared" si="448"/>
        <v>27.05.2020</v>
      </c>
      <c r="C2571" s="1" t="str">
        <f>"На обробці в адмін. органі"</f>
        <v>На обробці в адмін. органі</v>
      </c>
      <c r="D2571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571" s="1" t="str">
        <f>"Будівництво"</f>
        <v>Будівництво</v>
      </c>
      <c r="F257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571" s="1" t="str">
        <f>"10"</f>
        <v>10</v>
      </c>
      <c r="H2571" s="1" t="str">
        <f>""</f>
        <v/>
      </c>
      <c r="I2571" s="1" t="str">
        <f>""</f>
        <v/>
      </c>
      <c r="J2571" s="1" t="str">
        <f>"Ні"</f>
        <v>Ні</v>
      </c>
    </row>
    <row r="2572" spans="1:10" ht="45" x14ac:dyDescent="0.25">
      <c r="A2572" s="1" t="str">
        <f>"2606-2020/27"</f>
        <v>2606-2020/27</v>
      </c>
      <c r="B2572" s="1" t="str">
        <f t="shared" si="448"/>
        <v>27.05.2020</v>
      </c>
      <c r="C2572" s="1" t="str">
        <f t="shared" ref="C2572:C2586" si="452">"Закрито"</f>
        <v>Закрито</v>
      </c>
      <c r="D2572" s="1" t="str">
        <f>"Зняття з реєстрації місця проживання"</f>
        <v>Зняття з реєстрації місця проживання</v>
      </c>
      <c r="E2572" s="1" t="str">
        <f>"Реєстрація місця проживання"</f>
        <v>Реєстрація місця проживання</v>
      </c>
      <c r="F2572" s="1" t="str">
        <f>"Відділ реєстрації Новокаховської міської ради"</f>
        <v>Відділ реєстрації Новокаховської міської ради</v>
      </c>
      <c r="G2572" s="1" t="str">
        <f>"1"</f>
        <v>1</v>
      </c>
      <c r="H2572" s="1" t="str">
        <f>"Результат"</f>
        <v>Результат</v>
      </c>
      <c r="I2572" s="1" t="str">
        <f>"Позитивний"</f>
        <v>Позитивний</v>
      </c>
      <c r="J2572" s="1" t="str">
        <f>"Так"</f>
        <v>Так</v>
      </c>
    </row>
    <row r="2573" spans="1:10" ht="135" x14ac:dyDescent="0.25">
      <c r="A2573" s="1" t="str">
        <f>"2620-2020/27"</f>
        <v>2620-2020/27</v>
      </c>
      <c r="B2573" s="1" t="str">
        <f t="shared" si="448"/>
        <v>27.05.2020</v>
      </c>
      <c r="C2573" s="1" t="str">
        <f t="shared" si="452"/>
        <v>Закрито</v>
      </c>
      <c r="D257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73" s="1" t="str">
        <f>"Земельні питання"</f>
        <v>Земельні питання</v>
      </c>
      <c r="F25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73" s="1" t="str">
        <f>"1"</f>
        <v>1</v>
      </c>
      <c r="H2573" s="1" t="str">
        <f>"Результат"</f>
        <v>Результат</v>
      </c>
      <c r="I2573" s="1" t="str">
        <f>"Позитивний"</f>
        <v>Позитивний</v>
      </c>
      <c r="J2573" s="1" t="str">
        <f>"Так"</f>
        <v>Так</v>
      </c>
    </row>
    <row r="2574" spans="1:10" ht="90" x14ac:dyDescent="0.25">
      <c r="A2574" s="1" t="str">
        <f>"2616-2020/27"</f>
        <v>2616-2020/27</v>
      </c>
      <c r="B2574" s="1" t="str">
        <f t="shared" si="448"/>
        <v>27.05.2020</v>
      </c>
      <c r="C2574" s="1" t="str">
        <f t="shared" si="452"/>
        <v>Закрито</v>
      </c>
      <c r="D257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74" s="1" t="str">
        <f>"Інші послуги"</f>
        <v>Інші послуги</v>
      </c>
      <c r="F257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74" s="1" t="str">
        <f>"5"</f>
        <v>5</v>
      </c>
      <c r="H2574" s="1" t="str">
        <f>"Результат"</f>
        <v>Результат</v>
      </c>
      <c r="I2574" s="1" t="str">
        <f>"Позитивний"</f>
        <v>Позитивний</v>
      </c>
      <c r="J2574" s="1" t="str">
        <f>"Ні"</f>
        <v>Ні</v>
      </c>
    </row>
    <row r="2575" spans="1:10" ht="45" x14ac:dyDescent="0.25">
      <c r="A2575" s="1" t="str">
        <f>"2613-2020/27"</f>
        <v>2613-2020/27</v>
      </c>
      <c r="B2575" s="1" t="str">
        <f t="shared" si="448"/>
        <v>27.05.2020</v>
      </c>
      <c r="C2575" s="1" t="str">
        <f t="shared" si="452"/>
        <v>Закрито</v>
      </c>
      <c r="D2575" s="1" t="str">
        <f>"Зняття з реєстрації місця проживання"</f>
        <v>Зняття з реєстрації місця проживання</v>
      </c>
      <c r="E2575" s="1" t="str">
        <f>"Реєстрація місця проживання"</f>
        <v>Реєстрація місця проживання</v>
      </c>
      <c r="F2575" s="1" t="str">
        <f>"Відділ реєстрації Новокаховської міської ради"</f>
        <v>Відділ реєстрації Новокаховської міської ради</v>
      </c>
      <c r="G2575" s="1" t="str">
        <f>"1"</f>
        <v>1</v>
      </c>
      <c r="H2575" s="1" t="str">
        <f>"Результат"</f>
        <v>Результат</v>
      </c>
      <c r="I2575" s="1" t="str">
        <f>"Позитивний"</f>
        <v>Позитивний</v>
      </c>
      <c r="J2575" s="1" t="str">
        <f>"Так"</f>
        <v>Так</v>
      </c>
    </row>
    <row r="2576" spans="1:10" ht="45" x14ac:dyDescent="0.25">
      <c r="A2576" s="1" t="str">
        <f>"2617-2020/27"</f>
        <v>2617-2020/27</v>
      </c>
      <c r="B2576" s="1" t="str">
        <f t="shared" si="448"/>
        <v>27.05.2020</v>
      </c>
      <c r="C2576" s="1" t="str">
        <f t="shared" si="452"/>
        <v>Закрито</v>
      </c>
      <c r="D2576" s="1" t="str">
        <f>"Реєстрація місця проживання особи"</f>
        <v>Реєстрація місця проживання особи</v>
      </c>
      <c r="E2576" s="1" t="str">
        <f>"Реєстрація місця проживання"</f>
        <v>Реєстрація місця проживання</v>
      </c>
      <c r="F2576" s="1" t="str">
        <f>"Відділ реєстрації Новокаховської міської ради"</f>
        <v>Відділ реєстрації Новокаховської міської ради</v>
      </c>
      <c r="G2576" s="1" t="str">
        <f>"1"</f>
        <v>1</v>
      </c>
      <c r="H2576" s="1" t="str">
        <f>"Результат"</f>
        <v>Результат</v>
      </c>
      <c r="I2576" s="1" t="str">
        <f>"Позитивний"</f>
        <v>Позитивний</v>
      </c>
      <c r="J2576" s="1" t="str">
        <f>"Так"</f>
        <v>Так</v>
      </c>
    </row>
    <row r="2577" spans="1:10" ht="45" x14ac:dyDescent="0.25">
      <c r="A2577" s="1" t="str">
        <f>"2607-2020/27"</f>
        <v>2607-2020/27</v>
      </c>
      <c r="B2577" s="1" t="str">
        <f t="shared" si="448"/>
        <v>27.05.2020</v>
      </c>
      <c r="C2577" s="1" t="str">
        <f t="shared" si="452"/>
        <v>Закрито</v>
      </c>
      <c r="D2577" s="1" t="str">
        <f>"Зняття з реєстрації місця проживання"</f>
        <v>Зняття з реєстрації місця проживання</v>
      </c>
      <c r="E2577" s="1" t="str">
        <f>"Реєстрація місця проживання"</f>
        <v>Реєстрація місця проживання</v>
      </c>
      <c r="F2577" s="1" t="str">
        <f>"Відділ реєстрації Новокаховської міської ради"</f>
        <v>Відділ реєстрації Новокаховської міської ради</v>
      </c>
      <c r="G2577" s="1" t="str">
        <f>"1"</f>
        <v>1</v>
      </c>
      <c r="H2577" s="1" t="str">
        <f>"Результат"</f>
        <v>Результат</v>
      </c>
      <c r="I2577" s="1" t="str">
        <f>"Позитивний"</f>
        <v>Позитивний</v>
      </c>
      <c r="J2577" s="1" t="str">
        <f>"Так"</f>
        <v>Так</v>
      </c>
    </row>
    <row r="2578" spans="1:10" ht="90" x14ac:dyDescent="0.25">
      <c r="A2578" s="1" t="str">
        <f>"2603-2020/27"</f>
        <v>2603-2020/27</v>
      </c>
      <c r="B2578" s="1" t="str">
        <f t="shared" si="448"/>
        <v>27.05.2020</v>
      </c>
      <c r="C2578" s="1" t="str">
        <f t="shared" si="452"/>
        <v>Закрито</v>
      </c>
      <c r="D257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78" s="1" t="str">
        <f>"Інші послуги"</f>
        <v>Інші послуги</v>
      </c>
      <c r="F257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78" s="1" t="str">
        <f>"5"</f>
        <v>5</v>
      </c>
      <c r="H2578" s="1" t="str">
        <f>"Результат"</f>
        <v>Результат</v>
      </c>
      <c r="I2578" s="1" t="str">
        <f>"Позитивний"</f>
        <v>Позитивний</v>
      </c>
      <c r="J2578" s="1" t="str">
        <f>"Ні"</f>
        <v>Ні</v>
      </c>
    </row>
    <row r="2579" spans="1:10" ht="90" x14ac:dyDescent="0.25">
      <c r="A2579" s="1" t="str">
        <f>"2599-2020/27"</f>
        <v>2599-2020/27</v>
      </c>
      <c r="B2579" s="1" t="str">
        <f t="shared" si="448"/>
        <v>27.05.2020</v>
      </c>
      <c r="C2579" s="1" t="str">
        <f t="shared" si="452"/>
        <v>Закрито</v>
      </c>
      <c r="D257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79" s="1" t="str">
        <f>"Інші послуги"</f>
        <v>Інші послуги</v>
      </c>
      <c r="F257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79" s="1" t="str">
        <f>"5"</f>
        <v>5</v>
      </c>
      <c r="H2579" s="1" t="str">
        <f>"Результат"</f>
        <v>Результат</v>
      </c>
      <c r="I2579" s="1" t="str">
        <f>"Позитивний"</f>
        <v>Позитивний</v>
      </c>
      <c r="J2579" s="1" t="str">
        <f>"Ні"</f>
        <v>Ні</v>
      </c>
    </row>
    <row r="2580" spans="1:10" ht="135" x14ac:dyDescent="0.25">
      <c r="A2580" s="1" t="str">
        <f>"2595-2020/27"</f>
        <v>2595-2020/27</v>
      </c>
      <c r="B2580" s="1" t="str">
        <f t="shared" si="448"/>
        <v>27.05.2020</v>
      </c>
      <c r="C2580" s="1" t="str">
        <f t="shared" si="452"/>
        <v>Закрито</v>
      </c>
      <c r="D258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80" s="1" t="str">
        <f>"Земельні питання"</f>
        <v>Земельні питання</v>
      </c>
      <c r="F25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80" s="1" t="str">
        <f>"1"</f>
        <v>1</v>
      </c>
      <c r="H2580" s="1" t="str">
        <f>"Результат"</f>
        <v>Результат</v>
      </c>
      <c r="I2580" s="1" t="str">
        <f>"Позитивний"</f>
        <v>Позитивний</v>
      </c>
      <c r="J2580" s="1" t="str">
        <f>"Так"</f>
        <v>Так</v>
      </c>
    </row>
    <row r="2581" spans="1:10" ht="45" x14ac:dyDescent="0.25">
      <c r="A2581" s="1" t="str">
        <f>"2604-2020/27"</f>
        <v>2604-2020/27</v>
      </c>
      <c r="B2581" s="1" t="str">
        <f t="shared" si="448"/>
        <v>27.05.2020</v>
      </c>
      <c r="C2581" s="1" t="str">
        <f t="shared" si="452"/>
        <v>Закрито</v>
      </c>
      <c r="D2581" s="1" t="str">
        <f>"Зняття з реєстрації місця проживання"</f>
        <v>Зняття з реєстрації місця проживання</v>
      </c>
      <c r="E2581" s="1" t="str">
        <f>"Реєстрація місця проживання"</f>
        <v>Реєстрація місця проживання</v>
      </c>
      <c r="F2581" s="1" t="str">
        <f>"Відділ реєстрації Новокаховської міської ради"</f>
        <v>Відділ реєстрації Новокаховської міської ради</v>
      </c>
      <c r="G2581" s="1" t="str">
        <f>"1"</f>
        <v>1</v>
      </c>
      <c r="H2581" s="1" t="str">
        <f>"Результат"</f>
        <v>Результат</v>
      </c>
      <c r="I2581" s="1" t="str">
        <f>"Позитивний"</f>
        <v>Позитивний</v>
      </c>
      <c r="J2581" s="1" t="str">
        <f>"Так"</f>
        <v>Так</v>
      </c>
    </row>
    <row r="2582" spans="1:10" ht="60" x14ac:dyDescent="0.25">
      <c r="A2582" s="1" t="str">
        <f>"2601-2020/27"</f>
        <v>2601-2020/27</v>
      </c>
      <c r="B2582" s="1" t="str">
        <f t="shared" si="448"/>
        <v>27.05.2020</v>
      </c>
      <c r="C2582" s="1" t="str">
        <f t="shared" si="452"/>
        <v>Закрито</v>
      </c>
      <c r="D2582" s="1" t="str">
        <f>"Державна реєстрація створення громадського об’єднання"</f>
        <v>Державна реєстрація створення громадського об’єднання</v>
      </c>
      <c r="E2582" s="1" t="str">
        <f>"Державна реєстрація громадських об’єднань"</f>
        <v>Державна реєстрація громадських об’єднань</v>
      </c>
      <c r="F2582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2582" s="1" t="str">
        <f>"3"</f>
        <v>3</v>
      </c>
      <c r="H2582" s="1" t="str">
        <f>"Результат"</f>
        <v>Результат</v>
      </c>
      <c r="I2582" s="1" t="str">
        <f>"Мотивована відмова"</f>
        <v>Мотивована відмова</v>
      </c>
      <c r="J2582" s="1" t="str">
        <f>"Ні"</f>
        <v>Ні</v>
      </c>
    </row>
    <row r="2583" spans="1:10" ht="135" x14ac:dyDescent="0.25">
      <c r="A2583" s="1" t="str">
        <f>"2626-2020/27"</f>
        <v>2626-2020/27</v>
      </c>
      <c r="B2583" s="1" t="str">
        <f t="shared" si="448"/>
        <v>27.05.2020</v>
      </c>
      <c r="C2583" s="1" t="str">
        <f t="shared" si="452"/>
        <v>Закрито</v>
      </c>
      <c r="D258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583" s="1" t="str">
        <f>"Земельні питання"</f>
        <v>Земельні питання</v>
      </c>
      <c r="F25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83" s="1" t="str">
        <f>"3"</f>
        <v>3</v>
      </c>
      <c r="H2583" s="1" t="str">
        <f>"Результат"</f>
        <v>Результат</v>
      </c>
      <c r="I2583" s="1" t="str">
        <f>"Мотивована відмова"</f>
        <v>Мотивована відмова</v>
      </c>
      <c r="J2583" s="1" t="str">
        <f>"Ні"</f>
        <v>Ні</v>
      </c>
    </row>
    <row r="2584" spans="1:10" ht="45" x14ac:dyDescent="0.25">
      <c r="A2584" s="1" t="str">
        <f>"2610-2020/27"</f>
        <v>2610-2020/27</v>
      </c>
      <c r="B2584" s="1" t="str">
        <f t="shared" si="448"/>
        <v>27.05.2020</v>
      </c>
      <c r="C2584" s="1" t="str">
        <f t="shared" si="452"/>
        <v>Закрито</v>
      </c>
      <c r="D2584" s="1" t="str">
        <f>"Зняття з реєстрації місця проживання"</f>
        <v>Зняття з реєстрації місця проживання</v>
      </c>
      <c r="E2584" s="1" t="str">
        <f>"Реєстрація місця проживання"</f>
        <v>Реєстрація місця проживання</v>
      </c>
      <c r="F2584" s="1" t="str">
        <f>"Відділ реєстрації Новокаховської міської ради"</f>
        <v>Відділ реєстрації Новокаховської міської ради</v>
      </c>
      <c r="G2584" s="1" t="str">
        <f>"1"</f>
        <v>1</v>
      </c>
      <c r="H2584" s="1" t="str">
        <f>"Результат"</f>
        <v>Результат</v>
      </c>
      <c r="I2584" s="1" t="str">
        <f>"Позитивний"</f>
        <v>Позитивний</v>
      </c>
      <c r="J2584" s="1" t="str">
        <f>"Так"</f>
        <v>Так</v>
      </c>
    </row>
    <row r="2585" spans="1:10" ht="90" x14ac:dyDescent="0.25">
      <c r="A2585" s="1" t="str">
        <f>"2611-2020/27"</f>
        <v>2611-2020/27</v>
      </c>
      <c r="B2585" s="1" t="str">
        <f t="shared" si="448"/>
        <v>27.05.2020</v>
      </c>
      <c r="C2585" s="1" t="str">
        <f t="shared" si="452"/>
        <v>Закрито</v>
      </c>
      <c r="D258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85" s="1" t="str">
        <f>"Інші послуги"</f>
        <v>Інші послуги</v>
      </c>
      <c r="F258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85" s="1" t="str">
        <f>"5"</f>
        <v>5</v>
      </c>
      <c r="H2585" s="1" t="str">
        <f>"Результат"</f>
        <v>Результат</v>
      </c>
      <c r="I2585" s="1" t="str">
        <f>"Позитивний"</f>
        <v>Позитивний</v>
      </c>
      <c r="J2585" s="1" t="str">
        <f>"Ні"</f>
        <v>Ні</v>
      </c>
    </row>
    <row r="2586" spans="1:10" ht="90" x14ac:dyDescent="0.25">
      <c r="A2586" s="1" t="str">
        <f>"2594-2020/27"</f>
        <v>2594-2020/27</v>
      </c>
      <c r="B2586" s="1" t="str">
        <f t="shared" si="448"/>
        <v>27.05.2020</v>
      </c>
      <c r="C2586" s="1" t="str">
        <f t="shared" si="452"/>
        <v>Закрито</v>
      </c>
      <c r="D258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86" s="1" t="str">
        <f>"Інші послуги"</f>
        <v>Інші послуги</v>
      </c>
      <c r="F258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86" s="1" t="str">
        <f>"5"</f>
        <v>5</v>
      </c>
      <c r="H2586" s="1" t="str">
        <f>"Результат"</f>
        <v>Результат</v>
      </c>
      <c r="I2586" s="1" t="str">
        <f>"Позитивний"</f>
        <v>Позитивний</v>
      </c>
      <c r="J2586" s="1" t="str">
        <f>"Ні"</f>
        <v>Ні</v>
      </c>
    </row>
    <row r="2587" spans="1:10" ht="225" x14ac:dyDescent="0.25">
      <c r="A2587" s="1" t="str">
        <f>"2605-2020/27"</f>
        <v>2605-2020/27</v>
      </c>
      <c r="B2587" s="1" t="str">
        <f t="shared" si="448"/>
        <v>27.05.2020</v>
      </c>
      <c r="C2587" s="1" t="str">
        <f t="shared" ref="C2587:C2588" si="453">"Результат,"</f>
        <v>Результат,</v>
      </c>
      <c r="D2587" s="1" t="s">
        <v>2</v>
      </c>
      <c r="E2587" s="1" t="str">
        <f>"Будівництво"</f>
        <v>Будівництво</v>
      </c>
      <c r="F258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587" s="1" t="str">
        <f>"30"</f>
        <v>30</v>
      </c>
      <c r="H2587" s="1" t="str">
        <f>"Результат"</f>
        <v>Результат</v>
      </c>
      <c r="I2587" s="1" t="str">
        <f>"Позитивний"</f>
        <v>Позитивний</v>
      </c>
      <c r="J2587" s="1" t="str">
        <f>"Ні"</f>
        <v>Ні</v>
      </c>
    </row>
    <row r="2588" spans="1:10" ht="135" x14ac:dyDescent="0.25">
      <c r="A2588" s="1" t="str">
        <f>"2630-2020/27"</f>
        <v>2630-2020/27</v>
      </c>
      <c r="B2588" s="1" t="str">
        <f t="shared" ref="B2588:B2607" si="454">"28.05.2020"</f>
        <v>28.05.2020</v>
      </c>
      <c r="C2588" s="1" t="str">
        <f t="shared" si="453"/>
        <v>Результат,</v>
      </c>
      <c r="D2588" s="1" t="str">
        <f>"Позитивний,"</f>
        <v>Позитивний,</v>
      </c>
      <c r="E2588" s="1" t="str">
        <f>"Земельні питання"</f>
        <v>Земельні питання</v>
      </c>
      <c r="F25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88" s="1" t="str">
        <f>"1"</f>
        <v>1</v>
      </c>
      <c r="H2588" s="1" t="str">
        <f>"Результат"</f>
        <v>Результат</v>
      </c>
      <c r="I2588" s="1" t="str">
        <f>"Позитивний"</f>
        <v>Позитивний</v>
      </c>
      <c r="J2588" s="1" t="str">
        <f>"Так"</f>
        <v>Так</v>
      </c>
    </row>
    <row r="2589" spans="1:10" ht="45" x14ac:dyDescent="0.25">
      <c r="A2589" s="1" t="str">
        <f>"2643-2020/27"</f>
        <v>2643-2020/27</v>
      </c>
      <c r="B2589" s="1" t="str">
        <f t="shared" si="454"/>
        <v>28.05.2020</v>
      </c>
      <c r="C2589" s="1" t="str">
        <f>"Закрито"</f>
        <v>Закрито</v>
      </c>
      <c r="D2589" s="1" t="str">
        <f>"Зняття з реєстрації місця проживання"</f>
        <v>Зняття з реєстрації місця проживання</v>
      </c>
      <c r="E2589" s="1" t="str">
        <f>"Реєстрація місця проживання"</f>
        <v>Реєстрація місця проживання</v>
      </c>
      <c r="F2589" s="1" t="str">
        <f>"Відділ реєстрації Новокаховської міської ради"</f>
        <v>Відділ реєстрації Новокаховської міської ради</v>
      </c>
      <c r="G2589" s="1" t="str">
        <f>"1"</f>
        <v>1</v>
      </c>
      <c r="H2589" s="1" t="str">
        <f>"Результат"</f>
        <v>Результат</v>
      </c>
      <c r="I2589" s="1" t="str">
        <f>"Позитивний"</f>
        <v>Позитивний</v>
      </c>
      <c r="J2589" s="1" t="str">
        <f>"Так"</f>
        <v>Так</v>
      </c>
    </row>
    <row r="2590" spans="1:10" ht="135" x14ac:dyDescent="0.25">
      <c r="A2590" s="1" t="str">
        <f>"2640-2020/27"</f>
        <v>2640-2020/27</v>
      </c>
      <c r="B2590" s="1" t="str">
        <f t="shared" si="454"/>
        <v>28.05.2020</v>
      </c>
      <c r="C2590" s="1" t="str">
        <f>"Закрито"</f>
        <v>Закрито</v>
      </c>
      <c r="D2590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590" s="1" t="str">
        <f>"Земельні питання"</f>
        <v>Земельні питання</v>
      </c>
      <c r="F25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90" s="1" t="str">
        <f>"14"</f>
        <v>14</v>
      </c>
      <c r="H2590" s="1" t="str">
        <f>"Результат"</f>
        <v>Результат</v>
      </c>
      <c r="I2590" s="1" t="str">
        <f>"Позитивний"</f>
        <v>Позитивний</v>
      </c>
      <c r="J2590" s="1" t="str">
        <f>"Ні"</f>
        <v>Ні</v>
      </c>
    </row>
    <row r="2591" spans="1:10" ht="120" x14ac:dyDescent="0.25">
      <c r="A2591" s="1" t="str">
        <f>"2644-2020/27"</f>
        <v>2644-2020/27</v>
      </c>
      <c r="B2591" s="1" t="str">
        <f t="shared" si="454"/>
        <v>28.05.2020</v>
      </c>
      <c r="C2591" s="1" t="str">
        <f t="shared" ref="C2591" si="455">"Результат,"</f>
        <v>Результат,</v>
      </c>
      <c r="D2591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591" s="1" t="str">
        <f>"Будівництво"</f>
        <v>Будівництво</v>
      </c>
      <c r="F259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591" s="1" t="str">
        <f>"10"</f>
        <v>10</v>
      </c>
      <c r="H2591" s="1" t="str">
        <f>"Результат"</f>
        <v>Результат</v>
      </c>
      <c r="I2591" s="1" t="str">
        <f>"Позитивний"</f>
        <v>Позитивний</v>
      </c>
      <c r="J2591" s="1" t="str">
        <f>"Ні"</f>
        <v>Ні</v>
      </c>
    </row>
    <row r="2592" spans="1:10" ht="135" x14ac:dyDescent="0.25">
      <c r="A2592" s="1" t="str">
        <f>"2627-2020/27"</f>
        <v>2627-2020/27</v>
      </c>
      <c r="B2592" s="1" t="str">
        <f t="shared" si="454"/>
        <v>28.05.2020</v>
      </c>
      <c r="C2592" s="1" t="str">
        <f t="shared" ref="C2592:C2655" si="456">"Закрито"</f>
        <v>Закрито</v>
      </c>
      <c r="D25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92" s="1" t="str">
        <f>"Земельні питання"</f>
        <v>Земельні питання</v>
      </c>
      <c r="F25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92" s="1" t="str">
        <f>"1"</f>
        <v>1</v>
      </c>
      <c r="H2592" s="1" t="str">
        <f>"Результат"</f>
        <v>Результат</v>
      </c>
      <c r="I2592" s="1" t="str">
        <f>"Позитивний"</f>
        <v>Позитивний</v>
      </c>
      <c r="J2592" s="1" t="str">
        <f>"Так"</f>
        <v>Так</v>
      </c>
    </row>
    <row r="2593" spans="1:10" ht="45" x14ac:dyDescent="0.25">
      <c r="A2593" s="1" t="str">
        <f>"2638-2020/27"</f>
        <v>2638-2020/27</v>
      </c>
      <c r="B2593" s="1" t="str">
        <f t="shared" si="454"/>
        <v>28.05.2020</v>
      </c>
      <c r="C2593" s="1" t="str">
        <f t="shared" si="456"/>
        <v>Закрито</v>
      </c>
      <c r="D2593" s="1" t="str">
        <f>"Зняття з реєстрації місця проживання"</f>
        <v>Зняття з реєстрації місця проживання</v>
      </c>
      <c r="E2593" s="1" t="str">
        <f>"Реєстрація місця проживання"</f>
        <v>Реєстрація місця проживання</v>
      </c>
      <c r="F2593" s="1" t="str">
        <f>"Відділ реєстрації Новокаховської міської ради"</f>
        <v>Відділ реєстрації Новокаховської міської ради</v>
      </c>
      <c r="G2593" s="1" t="str">
        <f>"1"</f>
        <v>1</v>
      </c>
      <c r="H2593" s="1" t="str">
        <f>"Результат"</f>
        <v>Результат</v>
      </c>
      <c r="I2593" s="1" t="str">
        <f>"Позитивний"</f>
        <v>Позитивний</v>
      </c>
      <c r="J2593" s="1" t="str">
        <f>"Так"</f>
        <v>Так</v>
      </c>
    </row>
    <row r="2594" spans="1:10" ht="135" x14ac:dyDescent="0.25">
      <c r="A2594" s="1" t="str">
        <f>"2641-2020/27"</f>
        <v>2641-2020/27</v>
      </c>
      <c r="B2594" s="1" t="str">
        <f t="shared" si="454"/>
        <v>28.05.2020</v>
      </c>
      <c r="C2594" s="1" t="str">
        <f t="shared" si="456"/>
        <v>Закрито</v>
      </c>
      <c r="D259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94" s="1" t="str">
        <f>"Земельні питання"</f>
        <v>Земельні питання</v>
      </c>
      <c r="F25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94" s="1" t="str">
        <f>"1"</f>
        <v>1</v>
      </c>
      <c r="H2594" s="1" t="str">
        <f>"Результат"</f>
        <v>Результат</v>
      </c>
      <c r="I2594" s="1" t="str">
        <f>"Позитивний"</f>
        <v>Позитивний</v>
      </c>
      <c r="J2594" s="1" t="str">
        <f>"Так"</f>
        <v>Так</v>
      </c>
    </row>
    <row r="2595" spans="1:10" ht="90" x14ac:dyDescent="0.25">
      <c r="A2595" s="1" t="str">
        <f>"2633-2020/27"</f>
        <v>2633-2020/27</v>
      </c>
      <c r="B2595" s="1" t="str">
        <f t="shared" si="454"/>
        <v>28.05.2020</v>
      </c>
      <c r="C2595" s="1" t="str">
        <f t="shared" si="456"/>
        <v>Закрито</v>
      </c>
      <c r="D259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595" s="1" t="str">
        <f>"Інші послуги"</f>
        <v>Інші послуги</v>
      </c>
      <c r="F259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595" s="1" t="str">
        <f>"5"</f>
        <v>5</v>
      </c>
      <c r="H2595" s="1" t="str">
        <f>"Результат"</f>
        <v>Результат</v>
      </c>
      <c r="I2595" s="1" t="str">
        <f>"Позитивний"</f>
        <v>Позитивний</v>
      </c>
      <c r="J2595" s="1" t="str">
        <f>"Ні"</f>
        <v>Ні</v>
      </c>
    </row>
    <row r="2596" spans="1:10" ht="135" x14ac:dyDescent="0.25">
      <c r="A2596" s="1" t="str">
        <f>"2645-2020/27"</f>
        <v>2645-2020/27</v>
      </c>
      <c r="B2596" s="1" t="str">
        <f t="shared" si="454"/>
        <v>28.05.2020</v>
      </c>
      <c r="C2596" s="1" t="str">
        <f t="shared" si="456"/>
        <v>Закрито</v>
      </c>
      <c r="D259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96" s="1" t="str">
        <f>"Земельні питання"</f>
        <v>Земельні питання</v>
      </c>
      <c r="F25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96" s="1" t="str">
        <f>"1"</f>
        <v>1</v>
      </c>
      <c r="H2596" s="1" t="str">
        <f>"Результат"</f>
        <v>Результат</v>
      </c>
      <c r="I2596" s="1" t="str">
        <f>"Позитивний"</f>
        <v>Позитивний</v>
      </c>
      <c r="J2596" s="1" t="str">
        <f>"Так"</f>
        <v>Так</v>
      </c>
    </row>
    <row r="2597" spans="1:10" ht="135" x14ac:dyDescent="0.25">
      <c r="A2597" s="1" t="str">
        <f>"2628-2020/27"</f>
        <v>2628-2020/27</v>
      </c>
      <c r="B2597" s="1" t="str">
        <f t="shared" si="454"/>
        <v>28.05.2020</v>
      </c>
      <c r="C2597" s="1" t="str">
        <f t="shared" si="456"/>
        <v>Закрито</v>
      </c>
      <c r="D259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597" s="1" t="str">
        <f>"Земельні питання"</f>
        <v>Земельні питання</v>
      </c>
      <c r="F259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97" s="1" t="str">
        <f>"14"</f>
        <v>14</v>
      </c>
      <c r="H2597" s="1" t="str">
        <f>"Результат"</f>
        <v>Результат</v>
      </c>
      <c r="I2597" s="1" t="str">
        <f>"Позитивний"</f>
        <v>Позитивний</v>
      </c>
      <c r="J2597" s="1" t="str">
        <f>"Ні"</f>
        <v>Ні</v>
      </c>
    </row>
    <row r="2598" spans="1:10" ht="135" x14ac:dyDescent="0.25">
      <c r="A2598" s="1" t="str">
        <f>"2642-2020/27"</f>
        <v>2642-2020/27</v>
      </c>
      <c r="B2598" s="1" t="str">
        <f t="shared" si="454"/>
        <v>28.05.2020</v>
      </c>
      <c r="C2598" s="1" t="str">
        <f t="shared" si="456"/>
        <v>Закрито</v>
      </c>
      <c r="D259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598" s="1" t="str">
        <f>"Земельні питання"</f>
        <v>Земельні питання</v>
      </c>
      <c r="F25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598" s="1" t="str">
        <f>"1"</f>
        <v>1</v>
      </c>
      <c r="H2598" s="1" t="str">
        <f>"Результат"</f>
        <v>Результат</v>
      </c>
      <c r="I2598" s="1" t="str">
        <f>"Позитивний"</f>
        <v>Позитивний</v>
      </c>
      <c r="J2598" s="1" t="str">
        <f>"Так"</f>
        <v>Так</v>
      </c>
    </row>
    <row r="2599" spans="1:10" ht="45" x14ac:dyDescent="0.25">
      <c r="A2599" s="1" t="str">
        <f>"2634-2020/27"</f>
        <v>2634-2020/27</v>
      </c>
      <c r="B2599" s="1" t="str">
        <f t="shared" si="454"/>
        <v>28.05.2020</v>
      </c>
      <c r="C2599" s="1" t="str">
        <f t="shared" si="456"/>
        <v>Закрито</v>
      </c>
      <c r="D2599" s="1" t="str">
        <f>"Реєстрація місця проживання особи"</f>
        <v>Реєстрація місця проживання особи</v>
      </c>
      <c r="E2599" s="1" t="str">
        <f>"Реєстрація місця проживання"</f>
        <v>Реєстрація місця проживання</v>
      </c>
      <c r="F2599" s="1" t="str">
        <f>"Відділ реєстрації Новокаховської міської ради"</f>
        <v>Відділ реєстрації Новокаховської міської ради</v>
      </c>
      <c r="G2599" s="1" t="str">
        <f>"1"</f>
        <v>1</v>
      </c>
      <c r="H2599" s="1" t="str">
        <f>"Результат"</f>
        <v>Результат</v>
      </c>
      <c r="I2599" s="1" t="str">
        <f>"Позитивний"</f>
        <v>Позитивний</v>
      </c>
      <c r="J2599" s="1" t="str">
        <f>"Так"</f>
        <v>Так</v>
      </c>
    </row>
    <row r="2600" spans="1:10" ht="135" x14ac:dyDescent="0.25">
      <c r="A2600" s="1" t="str">
        <f>"2631-2020/27"</f>
        <v>2631-2020/27</v>
      </c>
      <c r="B2600" s="1" t="str">
        <f t="shared" si="454"/>
        <v>28.05.2020</v>
      </c>
      <c r="C2600" s="1" t="str">
        <f t="shared" si="456"/>
        <v>Закрито</v>
      </c>
      <c r="D260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00" s="1" t="str">
        <f>"Земельні питання"</f>
        <v>Земельні питання</v>
      </c>
      <c r="F26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00" s="1" t="str">
        <f>"1"</f>
        <v>1</v>
      </c>
      <c r="H2600" s="1" t="str">
        <f>"Результат"</f>
        <v>Результат</v>
      </c>
      <c r="I2600" s="1" t="str">
        <f>"Позитивний"</f>
        <v>Позитивний</v>
      </c>
      <c r="J2600" s="1" t="str">
        <f>"Так"</f>
        <v>Так</v>
      </c>
    </row>
    <row r="2601" spans="1:10" ht="135" x14ac:dyDescent="0.25">
      <c r="A2601" s="1" t="str">
        <f>"2637-2020/27"</f>
        <v>2637-2020/27</v>
      </c>
      <c r="B2601" s="1" t="str">
        <f t="shared" si="454"/>
        <v>28.05.2020</v>
      </c>
      <c r="C2601" s="1" t="str">
        <f t="shared" si="456"/>
        <v>Закрито</v>
      </c>
      <c r="D260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01" s="1" t="str">
        <f>"Земельні питання"</f>
        <v>Земельні питання</v>
      </c>
      <c r="F26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01" s="1" t="str">
        <f>"14"</f>
        <v>14</v>
      </c>
      <c r="H2601" s="1" t="str">
        <f>"Результат"</f>
        <v>Результат</v>
      </c>
      <c r="I2601" s="1" t="str">
        <f>"Позитивний"</f>
        <v>Позитивний</v>
      </c>
      <c r="J2601" s="1" t="str">
        <f>"Ні"</f>
        <v>Ні</v>
      </c>
    </row>
    <row r="2602" spans="1:10" ht="135" x14ac:dyDescent="0.25">
      <c r="A2602" s="1" t="str">
        <f>"2636-2020/27"</f>
        <v>2636-2020/27</v>
      </c>
      <c r="B2602" s="1" t="str">
        <f t="shared" si="454"/>
        <v>28.05.2020</v>
      </c>
      <c r="C2602" s="1" t="str">
        <f t="shared" si="456"/>
        <v>Закрито</v>
      </c>
      <c r="D260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02" s="1" t="str">
        <f>"Земельні питання"</f>
        <v>Земельні питання</v>
      </c>
      <c r="F26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02" s="1" t="str">
        <f>"14"</f>
        <v>14</v>
      </c>
      <c r="H2602" s="1" t="str">
        <f>"Результат"</f>
        <v>Результат</v>
      </c>
      <c r="I2602" s="1" t="str">
        <f>"Позитивний"</f>
        <v>Позитивний</v>
      </c>
      <c r="J2602" s="1" t="str">
        <f>"Ні"</f>
        <v>Ні</v>
      </c>
    </row>
    <row r="2603" spans="1:10" ht="90" x14ac:dyDescent="0.25">
      <c r="A2603" s="1" t="str">
        <f>"2646-2020/27"</f>
        <v>2646-2020/27</v>
      </c>
      <c r="B2603" s="1" t="str">
        <f t="shared" si="454"/>
        <v>28.05.2020</v>
      </c>
      <c r="C2603" s="1" t="str">
        <f t="shared" si="456"/>
        <v>Закрито</v>
      </c>
      <c r="D260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03" s="1" t="str">
        <f>"Інші послуги"</f>
        <v>Інші послуги</v>
      </c>
      <c r="F260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03" s="1" t="str">
        <f>"5"</f>
        <v>5</v>
      </c>
      <c r="H2603" s="1" t="str">
        <f>"Результат"</f>
        <v>Результат</v>
      </c>
      <c r="I2603" s="1" t="str">
        <f>"Позитивний"</f>
        <v>Позитивний</v>
      </c>
      <c r="J2603" s="1" t="str">
        <f>"Ні"</f>
        <v>Ні</v>
      </c>
    </row>
    <row r="2604" spans="1:10" ht="90" x14ac:dyDescent="0.25">
      <c r="A2604" s="1" t="str">
        <f>"2635-2020/27"</f>
        <v>2635-2020/27</v>
      </c>
      <c r="B2604" s="1" t="str">
        <f t="shared" si="454"/>
        <v>28.05.2020</v>
      </c>
      <c r="C2604" s="1" t="str">
        <f t="shared" si="456"/>
        <v>Закрито</v>
      </c>
      <c r="D260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04" s="1" t="str">
        <f>"Інші послуги"</f>
        <v>Інші послуги</v>
      </c>
      <c r="F260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04" s="1" t="str">
        <f>"5"</f>
        <v>5</v>
      </c>
      <c r="H2604" s="1" t="str">
        <f>"Результат"</f>
        <v>Результат</v>
      </c>
      <c r="I2604" s="1" t="str">
        <f>"Позитивний"</f>
        <v>Позитивний</v>
      </c>
      <c r="J2604" s="1" t="str">
        <f>"Ні"</f>
        <v>Ні</v>
      </c>
    </row>
    <row r="2605" spans="1:10" ht="135" x14ac:dyDescent="0.25">
      <c r="A2605" s="1" t="str">
        <f>"2629-2020/27"</f>
        <v>2629-2020/27</v>
      </c>
      <c r="B2605" s="1" t="str">
        <f t="shared" si="454"/>
        <v>28.05.2020</v>
      </c>
      <c r="C2605" s="1" t="str">
        <f t="shared" si="456"/>
        <v>Закрито</v>
      </c>
      <c r="D260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05" s="1" t="str">
        <f>"Земельні питання"</f>
        <v>Земельні питання</v>
      </c>
      <c r="F26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05" s="1" t="str">
        <f>"14"</f>
        <v>14</v>
      </c>
      <c r="H2605" s="1" t="str">
        <f>"Результат"</f>
        <v>Результат</v>
      </c>
      <c r="I2605" s="1" t="str">
        <f>"Позитивний"</f>
        <v>Позитивний</v>
      </c>
      <c r="J2605" s="1" t="str">
        <f>"Ні"</f>
        <v>Ні</v>
      </c>
    </row>
    <row r="2606" spans="1:10" ht="45" x14ac:dyDescent="0.25">
      <c r="A2606" s="1" t="str">
        <f>"2632-2020/27"</f>
        <v>2632-2020/27</v>
      </c>
      <c r="B2606" s="1" t="str">
        <f t="shared" si="454"/>
        <v>28.05.2020</v>
      </c>
      <c r="C2606" s="1" t="str">
        <f t="shared" si="456"/>
        <v>Закрито</v>
      </c>
      <c r="D2606" s="1" t="str">
        <f>"Реєстрація місця проживання особи"</f>
        <v>Реєстрація місця проживання особи</v>
      </c>
      <c r="E2606" s="1" t="str">
        <f>"Реєстрація місця проживання"</f>
        <v>Реєстрація місця проживання</v>
      </c>
      <c r="F2606" s="1" t="str">
        <f>"Відділ реєстрації Новокаховської міської ради"</f>
        <v>Відділ реєстрації Новокаховської міської ради</v>
      </c>
      <c r="G2606" s="1" t="str">
        <f>"1"</f>
        <v>1</v>
      </c>
      <c r="H2606" s="1" t="str">
        <f>"Результат"</f>
        <v>Результат</v>
      </c>
      <c r="I2606" s="1" t="str">
        <f>"Позитивний"</f>
        <v>Позитивний</v>
      </c>
      <c r="J2606" s="1" t="str">
        <f>"Так"</f>
        <v>Так</v>
      </c>
    </row>
    <row r="2607" spans="1:10" ht="135" x14ac:dyDescent="0.25">
      <c r="A2607" s="1" t="str">
        <f>"2639-2020/27"</f>
        <v>2639-2020/27</v>
      </c>
      <c r="B2607" s="1" t="str">
        <f t="shared" si="454"/>
        <v>28.05.2020</v>
      </c>
      <c r="C2607" s="1" t="str">
        <f t="shared" si="456"/>
        <v>Закрито</v>
      </c>
      <c r="D260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607" s="1" t="str">
        <f>"Державна реєстрація громадських об’єднань"</f>
        <v>Державна реєстрація громадських об’єднань</v>
      </c>
      <c r="F26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07" s="1" t="str">
        <f>"14"</f>
        <v>14</v>
      </c>
      <c r="H2607" s="1" t="str">
        <f>"Результат"</f>
        <v>Результат</v>
      </c>
      <c r="I2607" s="1" t="str">
        <f>"Позитивний"</f>
        <v>Позитивний</v>
      </c>
      <c r="J2607" s="1" t="str">
        <f>"Ні"</f>
        <v>Ні</v>
      </c>
    </row>
    <row r="2608" spans="1:10" ht="45" x14ac:dyDescent="0.25">
      <c r="A2608" s="1" t="str">
        <f>"2663-2020/27"</f>
        <v>2663-2020/27</v>
      </c>
      <c r="B2608" s="1" t="str">
        <f t="shared" ref="B2608:B2629" si="457">"29.05.2020"</f>
        <v>29.05.2020</v>
      </c>
      <c r="C2608" s="1" t="str">
        <f t="shared" si="456"/>
        <v>Закрито</v>
      </c>
      <c r="D2608" s="1" t="str">
        <f>"Зняття з реєстрації місця проживання"</f>
        <v>Зняття з реєстрації місця проживання</v>
      </c>
      <c r="E2608" s="1" t="str">
        <f>"Реєстрація місця проживання"</f>
        <v>Реєстрація місця проживання</v>
      </c>
      <c r="F2608" s="1" t="str">
        <f>"Відділ реєстрації Новокаховської міської ради"</f>
        <v>Відділ реєстрації Новокаховської міської ради</v>
      </c>
      <c r="G2608" s="1" t="str">
        <f>"1"</f>
        <v>1</v>
      </c>
      <c r="H2608" s="1" t="str">
        <f>"Результат"</f>
        <v>Результат</v>
      </c>
      <c r="I2608" s="1" t="str">
        <f>"Позитивний"</f>
        <v>Позитивний</v>
      </c>
      <c r="J2608" s="1" t="str">
        <f>"Так"</f>
        <v>Так</v>
      </c>
    </row>
    <row r="2609" spans="1:10" ht="135" x14ac:dyDescent="0.25">
      <c r="A2609" s="1" t="str">
        <f>"2648-2020/27"</f>
        <v>2648-2020/27</v>
      </c>
      <c r="B2609" s="1" t="str">
        <f t="shared" si="457"/>
        <v>29.05.2020</v>
      </c>
      <c r="C2609" s="1" t="str">
        <f t="shared" si="456"/>
        <v>Закрито</v>
      </c>
      <c r="D260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09" s="1" t="str">
        <f>"Земельні питання"</f>
        <v>Земельні питання</v>
      </c>
      <c r="F26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09" s="1" t="str">
        <f>"3"</f>
        <v>3</v>
      </c>
      <c r="H2609" s="1" t="str">
        <f>"Результат"</f>
        <v>Результат</v>
      </c>
      <c r="I2609" s="1" t="str">
        <f>"Позитивний"</f>
        <v>Позитивний</v>
      </c>
      <c r="J2609" s="1" t="str">
        <f>"Ні"</f>
        <v>Ні</v>
      </c>
    </row>
    <row r="2610" spans="1:10" ht="45" x14ac:dyDescent="0.25">
      <c r="A2610" s="1" t="str">
        <f>"2656-2020/27"</f>
        <v>2656-2020/27</v>
      </c>
      <c r="B2610" s="1" t="str">
        <f t="shared" si="457"/>
        <v>29.05.2020</v>
      </c>
      <c r="C2610" s="1" t="str">
        <f t="shared" si="456"/>
        <v>Закрито</v>
      </c>
      <c r="D2610" s="1" t="str">
        <f>"Реєстрація місця проживання особи"</f>
        <v>Реєстрація місця проживання особи</v>
      </c>
      <c r="E2610" s="1" t="str">
        <f>"Реєстрація місця проживання"</f>
        <v>Реєстрація місця проживання</v>
      </c>
      <c r="F2610" s="1" t="str">
        <f>"Відділ реєстрації Новокаховської міської ради"</f>
        <v>Відділ реєстрації Новокаховської міської ради</v>
      </c>
      <c r="G2610" s="1" t="str">
        <f>"1"</f>
        <v>1</v>
      </c>
      <c r="H2610" s="1" t="str">
        <f>"Результат"</f>
        <v>Результат</v>
      </c>
      <c r="I2610" s="1" t="str">
        <f>"Позитивний"</f>
        <v>Позитивний</v>
      </c>
      <c r="J2610" s="1" t="str">
        <f>"Так"</f>
        <v>Так</v>
      </c>
    </row>
    <row r="2611" spans="1:10" ht="45" x14ac:dyDescent="0.25">
      <c r="A2611" s="1" t="str">
        <f>"2665-2020/27"</f>
        <v>2665-2020/27</v>
      </c>
      <c r="B2611" s="1" t="str">
        <f t="shared" si="457"/>
        <v>29.05.2020</v>
      </c>
      <c r="C2611" s="1" t="str">
        <f t="shared" si="456"/>
        <v>Закрито</v>
      </c>
      <c r="D2611" s="1" t="str">
        <f>"Зняття з реєстрації місця проживання"</f>
        <v>Зняття з реєстрації місця проживання</v>
      </c>
      <c r="E2611" s="1" t="str">
        <f>"Реєстрація місця проживання"</f>
        <v>Реєстрація місця проживання</v>
      </c>
      <c r="F2611" s="1" t="str">
        <f>"Відділ реєстрації Новокаховської міської ради"</f>
        <v>Відділ реєстрації Новокаховської міської ради</v>
      </c>
      <c r="G2611" s="1" t="str">
        <f>"1"</f>
        <v>1</v>
      </c>
      <c r="H2611" s="1" t="str">
        <f>"Результат"</f>
        <v>Результат</v>
      </c>
      <c r="I2611" s="1" t="str">
        <f>"Позитивний"</f>
        <v>Позитивний</v>
      </c>
      <c r="J2611" s="1" t="str">
        <f>"Так"</f>
        <v>Так</v>
      </c>
    </row>
    <row r="2612" spans="1:10" ht="45" x14ac:dyDescent="0.25">
      <c r="A2612" s="1" t="str">
        <f>"2653-2020/27"</f>
        <v>2653-2020/27</v>
      </c>
      <c r="B2612" s="1" t="str">
        <f t="shared" si="457"/>
        <v>29.05.2020</v>
      </c>
      <c r="C2612" s="1" t="str">
        <f t="shared" si="456"/>
        <v>Закрито</v>
      </c>
      <c r="D2612" s="1" t="str">
        <f>"Реєстрація місця проживання особи"</f>
        <v>Реєстрація місця проживання особи</v>
      </c>
      <c r="E2612" s="1" t="str">
        <f>"Реєстрація місця проживання"</f>
        <v>Реєстрація місця проживання</v>
      </c>
      <c r="F2612" s="1" t="str">
        <f>"Відділ реєстрації Новокаховської міської ради"</f>
        <v>Відділ реєстрації Новокаховської міської ради</v>
      </c>
      <c r="G2612" s="1" t="str">
        <f>"1"</f>
        <v>1</v>
      </c>
      <c r="H2612" s="1" t="str">
        <f>"Результат"</f>
        <v>Результат</v>
      </c>
      <c r="I2612" s="1" t="str">
        <f>"Позитивний"</f>
        <v>Позитивний</v>
      </c>
      <c r="J2612" s="1" t="str">
        <f>"Так"</f>
        <v>Так</v>
      </c>
    </row>
    <row r="2613" spans="1:10" ht="135" x14ac:dyDescent="0.25">
      <c r="A2613" s="1" t="str">
        <f>"2668-2020/27"</f>
        <v>2668-2020/27</v>
      </c>
      <c r="B2613" s="1" t="str">
        <f t="shared" si="457"/>
        <v>29.05.2020</v>
      </c>
      <c r="C2613" s="1" t="str">
        <f t="shared" si="456"/>
        <v>Закрито</v>
      </c>
      <c r="D261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13" s="1" t="str">
        <f>"Земельні питання"</f>
        <v>Земельні питання</v>
      </c>
      <c r="F26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13" s="1" t="str">
        <f>"14"</f>
        <v>14</v>
      </c>
      <c r="H2613" s="1" t="str">
        <f>"Результат"</f>
        <v>Результат</v>
      </c>
      <c r="I2613" s="1" t="str">
        <f>"Позитивний"</f>
        <v>Позитивний</v>
      </c>
      <c r="J2613" s="1" t="str">
        <f>"Ні"</f>
        <v>Ні</v>
      </c>
    </row>
    <row r="2614" spans="1:10" ht="90" x14ac:dyDescent="0.25">
      <c r="A2614" s="1" t="str">
        <f>"2652-2020/27"</f>
        <v>2652-2020/27</v>
      </c>
      <c r="B2614" s="1" t="str">
        <f t="shared" si="457"/>
        <v>29.05.2020</v>
      </c>
      <c r="C2614" s="1" t="str">
        <f t="shared" si="456"/>
        <v>Закрито</v>
      </c>
      <c r="D261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14" s="1" t="str">
        <f>"Інші послуги"</f>
        <v>Інші послуги</v>
      </c>
      <c r="F261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14" s="1" t="str">
        <f>"5"</f>
        <v>5</v>
      </c>
      <c r="H2614" s="1" t="str">
        <f>"Результат"</f>
        <v>Результат</v>
      </c>
      <c r="I2614" s="1" t="str">
        <f>"Позитивний"</f>
        <v>Позитивний</v>
      </c>
      <c r="J2614" s="1" t="str">
        <f>"Ні"</f>
        <v>Ні</v>
      </c>
    </row>
    <row r="2615" spans="1:10" ht="90" x14ac:dyDescent="0.25">
      <c r="A2615" s="1" t="str">
        <f>"2658-2020/27"</f>
        <v>2658-2020/27</v>
      </c>
      <c r="B2615" s="1" t="str">
        <f t="shared" si="457"/>
        <v>29.05.2020</v>
      </c>
      <c r="C2615" s="1" t="str">
        <f t="shared" si="456"/>
        <v>Закрито</v>
      </c>
      <c r="D261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15" s="1" t="str">
        <f>"Інші послуги"</f>
        <v>Інші послуги</v>
      </c>
      <c r="F261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15" s="1" t="str">
        <f>"5"</f>
        <v>5</v>
      </c>
      <c r="H2615" s="1" t="str">
        <f>"Результат"</f>
        <v>Результат</v>
      </c>
      <c r="I2615" s="1" t="str">
        <f>"Позитивний"</f>
        <v>Позитивний</v>
      </c>
      <c r="J2615" s="1" t="str">
        <f>"Ні"</f>
        <v>Ні</v>
      </c>
    </row>
    <row r="2616" spans="1:10" ht="90" x14ac:dyDescent="0.25">
      <c r="A2616" s="1" t="str">
        <f>"2657-2020/27"</f>
        <v>2657-2020/27</v>
      </c>
      <c r="B2616" s="1" t="str">
        <f t="shared" si="457"/>
        <v>29.05.2020</v>
      </c>
      <c r="C2616" s="1" t="str">
        <f t="shared" si="456"/>
        <v>Закрито</v>
      </c>
      <c r="D261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16" s="1" t="str">
        <f>"Інші послуги"</f>
        <v>Інші послуги</v>
      </c>
      <c r="F261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16" s="1" t="str">
        <f>"5"</f>
        <v>5</v>
      </c>
      <c r="H2616" s="1" t="str">
        <f>"Результат"</f>
        <v>Результат</v>
      </c>
      <c r="I2616" s="1" t="str">
        <f>"Позитивний"</f>
        <v>Позитивний</v>
      </c>
      <c r="J2616" s="1" t="str">
        <f>"Ні"</f>
        <v>Ні</v>
      </c>
    </row>
    <row r="2617" spans="1:10" ht="135" x14ac:dyDescent="0.25">
      <c r="A2617" s="1" t="str">
        <f>"2655-2020/27"</f>
        <v>2655-2020/27</v>
      </c>
      <c r="B2617" s="1" t="str">
        <f t="shared" si="457"/>
        <v>29.05.2020</v>
      </c>
      <c r="C2617" s="1" t="str">
        <f t="shared" si="456"/>
        <v>Закрито</v>
      </c>
      <c r="D261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17" s="1" t="str">
        <f>"Земельні питання"</f>
        <v>Земельні питання</v>
      </c>
      <c r="F26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17" s="1" t="str">
        <f>"3"</f>
        <v>3</v>
      </c>
      <c r="H2617" s="1" t="str">
        <f>"Результат"</f>
        <v>Результат</v>
      </c>
      <c r="I2617" s="1" t="str">
        <f>"Мотивована відмова"</f>
        <v>Мотивована відмова</v>
      </c>
      <c r="J2617" s="1" t="str">
        <f>"Ні"</f>
        <v>Ні</v>
      </c>
    </row>
    <row r="2618" spans="1:10" ht="45" x14ac:dyDescent="0.25">
      <c r="A2618" s="1" t="str">
        <f>"2654-2020/27"</f>
        <v>2654-2020/27</v>
      </c>
      <c r="B2618" s="1" t="str">
        <f t="shared" si="457"/>
        <v>29.05.2020</v>
      </c>
      <c r="C2618" s="1" t="str">
        <f t="shared" si="456"/>
        <v>Закрито</v>
      </c>
      <c r="D2618" s="1" t="str">
        <f>"Реєстрація місця проживання особи"</f>
        <v>Реєстрація місця проживання особи</v>
      </c>
      <c r="E2618" s="1" t="str">
        <f>"Реєстрація місця проживання"</f>
        <v>Реєстрація місця проживання</v>
      </c>
      <c r="F2618" s="1" t="str">
        <f>"Відділ реєстрації Новокаховської міської ради"</f>
        <v>Відділ реєстрації Новокаховської міської ради</v>
      </c>
      <c r="G2618" s="1" t="str">
        <f>"1"</f>
        <v>1</v>
      </c>
      <c r="H2618" s="1" t="str">
        <f>"Результат"</f>
        <v>Результат</v>
      </c>
      <c r="I2618" s="1" t="str">
        <f>"Позитивний"</f>
        <v>Позитивний</v>
      </c>
      <c r="J2618" s="1" t="str">
        <f>"Так"</f>
        <v>Так</v>
      </c>
    </row>
    <row r="2619" spans="1:10" ht="90" x14ac:dyDescent="0.25">
      <c r="A2619" s="1" t="str">
        <f>"2659-2020/27"</f>
        <v>2659-2020/27</v>
      </c>
      <c r="B2619" s="1" t="str">
        <f t="shared" si="457"/>
        <v>29.05.2020</v>
      </c>
      <c r="C2619" s="1" t="str">
        <f t="shared" si="456"/>
        <v>Закрито</v>
      </c>
      <c r="D261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19" s="1" t="str">
        <f>"Інші послуги"</f>
        <v>Інші послуги</v>
      </c>
      <c r="F261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19" s="1" t="str">
        <f>"5"</f>
        <v>5</v>
      </c>
      <c r="H2619" s="1" t="str">
        <f>"Результат"</f>
        <v>Результат</v>
      </c>
      <c r="I2619" s="1" t="str">
        <f>"Позитивний"</f>
        <v>Позитивний</v>
      </c>
      <c r="J2619" s="1" t="str">
        <f>"Ні"</f>
        <v>Ні</v>
      </c>
    </row>
    <row r="2620" spans="1:10" ht="45" x14ac:dyDescent="0.25">
      <c r="A2620" s="1" t="str">
        <f>"2650-2020/27"</f>
        <v>2650-2020/27</v>
      </c>
      <c r="B2620" s="1" t="str">
        <f t="shared" si="457"/>
        <v>29.05.2020</v>
      </c>
      <c r="C2620" s="1" t="str">
        <f t="shared" si="456"/>
        <v>Закрито</v>
      </c>
      <c r="D2620" s="1" t="str">
        <f>"Реєстрація місця проживання особи"</f>
        <v>Реєстрація місця проживання особи</v>
      </c>
      <c r="E2620" s="1" t="str">
        <f>"Реєстрація місця проживання"</f>
        <v>Реєстрація місця проживання</v>
      </c>
      <c r="F2620" s="1" t="str">
        <f>"Відділ реєстрації Новокаховської міської ради"</f>
        <v>Відділ реєстрації Новокаховської міської ради</v>
      </c>
      <c r="G2620" s="1" t="str">
        <f>"1"</f>
        <v>1</v>
      </c>
      <c r="H2620" s="1" t="str">
        <f>"Результат"</f>
        <v>Результат</v>
      </c>
      <c r="I2620" s="1" t="str">
        <f>"Позитивний"</f>
        <v>Позитивний</v>
      </c>
      <c r="J2620" s="1" t="str">
        <f>"Так"</f>
        <v>Так</v>
      </c>
    </row>
    <row r="2621" spans="1:10" ht="45" x14ac:dyDescent="0.25">
      <c r="A2621" s="1" t="str">
        <f>"2664-2020/27"</f>
        <v>2664-2020/27</v>
      </c>
      <c r="B2621" s="1" t="str">
        <f t="shared" si="457"/>
        <v>29.05.2020</v>
      </c>
      <c r="C2621" s="1" t="str">
        <f t="shared" si="456"/>
        <v>Закрито</v>
      </c>
      <c r="D2621" s="1" t="str">
        <f>"Зняття з реєстрації місця проживання"</f>
        <v>Зняття з реєстрації місця проживання</v>
      </c>
      <c r="E2621" s="1" t="str">
        <f>"Реєстрація місця проживання"</f>
        <v>Реєстрація місця проживання</v>
      </c>
      <c r="F2621" s="1" t="str">
        <f>"Відділ реєстрації Новокаховської міської ради"</f>
        <v>Відділ реєстрації Новокаховської міської ради</v>
      </c>
      <c r="G2621" s="1" t="str">
        <f>"1"</f>
        <v>1</v>
      </c>
      <c r="H2621" s="1" t="str">
        <f>"Результат"</f>
        <v>Результат</v>
      </c>
      <c r="I2621" s="1" t="str">
        <f>"Позитивний"</f>
        <v>Позитивний</v>
      </c>
      <c r="J2621" s="1" t="str">
        <f>"Так"</f>
        <v>Так</v>
      </c>
    </row>
    <row r="2622" spans="1:10" ht="135" x14ac:dyDescent="0.25">
      <c r="A2622" s="1" t="str">
        <f>"2647-2020/27"</f>
        <v>2647-2020/27</v>
      </c>
      <c r="B2622" s="1" t="str">
        <f t="shared" si="457"/>
        <v>29.05.2020</v>
      </c>
      <c r="C2622" s="1" t="str">
        <f t="shared" si="456"/>
        <v>Закрито</v>
      </c>
      <c r="D262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22" s="1" t="str">
        <f>"Земельні питання"</f>
        <v>Земельні питання</v>
      </c>
      <c r="F26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22" s="1" t="str">
        <f>"14"</f>
        <v>14</v>
      </c>
      <c r="H2622" s="1" t="str">
        <f>"Результат"</f>
        <v>Результат</v>
      </c>
      <c r="I2622" s="1" t="str">
        <f>"Позитивний"</f>
        <v>Позитивний</v>
      </c>
      <c r="J2622" s="1" t="str">
        <f>"Ні"</f>
        <v>Ні</v>
      </c>
    </row>
    <row r="2623" spans="1:10" ht="90" x14ac:dyDescent="0.25">
      <c r="A2623" s="1" t="str">
        <f>"2662-2020/27"</f>
        <v>2662-2020/27</v>
      </c>
      <c r="B2623" s="1" t="str">
        <f t="shared" si="457"/>
        <v>29.05.2020</v>
      </c>
      <c r="C2623" s="1" t="str">
        <f t="shared" si="456"/>
        <v>Закрито</v>
      </c>
      <c r="D262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23" s="1" t="str">
        <f>"Інші послуги"</f>
        <v>Інші послуги</v>
      </c>
      <c r="F262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23" s="1" t="str">
        <f>"5"</f>
        <v>5</v>
      </c>
      <c r="H2623" s="1" t="str">
        <f>"Результат"</f>
        <v>Результат</v>
      </c>
      <c r="I2623" s="1" t="str">
        <f>"Позитивний"</f>
        <v>Позитивний</v>
      </c>
      <c r="J2623" s="1" t="str">
        <f>"Ні"</f>
        <v>Ні</v>
      </c>
    </row>
    <row r="2624" spans="1:10" ht="90" x14ac:dyDescent="0.25">
      <c r="A2624" s="1" t="str">
        <f>"2660-2020/27"</f>
        <v>2660-2020/27</v>
      </c>
      <c r="B2624" s="1" t="str">
        <f t="shared" si="457"/>
        <v>29.05.2020</v>
      </c>
      <c r="C2624" s="1" t="str">
        <f t="shared" si="456"/>
        <v>Закрито</v>
      </c>
      <c r="D262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24" s="1" t="str">
        <f>"Інші послуги"</f>
        <v>Інші послуги</v>
      </c>
      <c r="F262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24" s="1" t="str">
        <f>"5"</f>
        <v>5</v>
      </c>
      <c r="H2624" s="1" t="str">
        <f>"Результат"</f>
        <v>Результат</v>
      </c>
      <c r="I2624" s="1" t="str">
        <f>"Позитивний"</f>
        <v>Позитивний</v>
      </c>
      <c r="J2624" s="1" t="str">
        <f>"Ні"</f>
        <v>Ні</v>
      </c>
    </row>
    <row r="2625" spans="1:10" ht="135" x14ac:dyDescent="0.25">
      <c r="A2625" s="1" t="str">
        <f>"2667-2020/27"</f>
        <v>2667-2020/27</v>
      </c>
      <c r="B2625" s="1" t="str">
        <f t="shared" si="457"/>
        <v>29.05.2020</v>
      </c>
      <c r="C2625" s="1" t="str">
        <f t="shared" si="456"/>
        <v>Закрито</v>
      </c>
      <c r="D262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25" s="1" t="str">
        <f>"Земельні питання"</f>
        <v>Земельні питання</v>
      </c>
      <c r="F26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25" s="1" t="str">
        <f>"14"</f>
        <v>14</v>
      </c>
      <c r="H2625" s="1" t="str">
        <f>"Результат"</f>
        <v>Результат</v>
      </c>
      <c r="I2625" s="1" t="str">
        <f>"Позитивний"</f>
        <v>Позитивний</v>
      </c>
      <c r="J2625" s="1" t="str">
        <f>"Ні"</f>
        <v>Ні</v>
      </c>
    </row>
    <row r="2626" spans="1:10" ht="45" x14ac:dyDescent="0.25">
      <c r="A2626" s="1" t="str">
        <f>"2651-2020/27"</f>
        <v>2651-2020/27</v>
      </c>
      <c r="B2626" s="1" t="str">
        <f t="shared" si="457"/>
        <v>29.05.2020</v>
      </c>
      <c r="C2626" s="1" t="str">
        <f t="shared" si="456"/>
        <v>Закрито</v>
      </c>
      <c r="D2626" s="1" t="str">
        <f>"Реєстрація місця проживання особи"</f>
        <v>Реєстрація місця проживання особи</v>
      </c>
      <c r="E2626" s="1" t="str">
        <f>"Реєстрація місця проживання"</f>
        <v>Реєстрація місця проживання</v>
      </c>
      <c r="F2626" s="1" t="str">
        <f>"Відділ реєстрації Новокаховської міської ради"</f>
        <v>Відділ реєстрації Новокаховської міської ради</v>
      </c>
      <c r="G2626" s="1" t="str">
        <f>"1"</f>
        <v>1</v>
      </c>
      <c r="H2626" s="1" t="str">
        <f>"Результат"</f>
        <v>Результат</v>
      </c>
      <c r="I2626" s="1" t="str">
        <f>"Позитивний"</f>
        <v>Позитивний</v>
      </c>
      <c r="J2626" s="1" t="str">
        <f>"Так"</f>
        <v>Так</v>
      </c>
    </row>
    <row r="2627" spans="1:10" ht="45" x14ac:dyDescent="0.25">
      <c r="A2627" s="1" t="str">
        <f>"2666-2020/27"</f>
        <v>2666-2020/27</v>
      </c>
      <c r="B2627" s="1" t="str">
        <f t="shared" si="457"/>
        <v>29.05.2020</v>
      </c>
      <c r="C2627" s="1" t="str">
        <f t="shared" si="456"/>
        <v>Закрито</v>
      </c>
      <c r="D2627" s="1" t="str">
        <f>"Реєстрація місця проживання особи"</f>
        <v>Реєстрація місця проживання особи</v>
      </c>
      <c r="E2627" s="1" t="str">
        <f>"Реєстрація місця проживання"</f>
        <v>Реєстрація місця проживання</v>
      </c>
      <c r="F2627" s="1" t="str">
        <f>"Відділ реєстрації Новокаховської міської ради"</f>
        <v>Відділ реєстрації Новокаховської міської ради</v>
      </c>
      <c r="G2627" s="1" t="str">
        <f>"1"</f>
        <v>1</v>
      </c>
      <c r="H2627" s="1" t="str">
        <f>"Результат"</f>
        <v>Результат</v>
      </c>
      <c r="I2627" s="1" t="str">
        <f>"Позитивний"</f>
        <v>Позитивний</v>
      </c>
      <c r="J2627" s="1" t="str">
        <f>"Так"</f>
        <v>Так</v>
      </c>
    </row>
    <row r="2628" spans="1:10" ht="45" x14ac:dyDescent="0.25">
      <c r="A2628" s="1" t="str">
        <f>"2649-2020/27"</f>
        <v>2649-2020/27</v>
      </c>
      <c r="B2628" s="1" t="str">
        <f t="shared" si="457"/>
        <v>29.05.2020</v>
      </c>
      <c r="C2628" s="1" t="str">
        <f t="shared" si="456"/>
        <v>Закрито</v>
      </c>
      <c r="D2628" s="1" t="str">
        <f>"Реєстрація місця проживання особи"</f>
        <v>Реєстрація місця проживання особи</v>
      </c>
      <c r="E2628" s="1" t="str">
        <f>"Реєстрація місця проживання"</f>
        <v>Реєстрація місця проживання</v>
      </c>
      <c r="F2628" s="1" t="str">
        <f>"Відділ реєстрації Новокаховської міської ради"</f>
        <v>Відділ реєстрації Новокаховської міської ради</v>
      </c>
      <c r="G2628" s="1" t="str">
        <f>"1"</f>
        <v>1</v>
      </c>
      <c r="H2628" s="1" t="str">
        <f>"Результат"</f>
        <v>Результат</v>
      </c>
      <c r="I2628" s="1" t="str">
        <f>"Позитивний"</f>
        <v>Позитивний</v>
      </c>
      <c r="J2628" s="1" t="str">
        <f>"Так"</f>
        <v>Так</v>
      </c>
    </row>
    <row r="2629" spans="1:10" ht="135" x14ac:dyDescent="0.25">
      <c r="A2629" s="1" t="str">
        <f>"2661-2020/27"</f>
        <v>2661-2020/27</v>
      </c>
      <c r="B2629" s="1" t="str">
        <f t="shared" si="457"/>
        <v>29.05.2020</v>
      </c>
      <c r="C2629" s="1" t="str">
        <f t="shared" si="456"/>
        <v>Закрито</v>
      </c>
      <c r="D262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29" s="1" t="str">
        <f>"Земельні питання"</f>
        <v>Земельні питання</v>
      </c>
      <c r="F26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29" s="1" t="str">
        <f>"14"</f>
        <v>14</v>
      </c>
      <c r="H2629" s="1" t="str">
        <f>"Результат"</f>
        <v>Результат</v>
      </c>
      <c r="I2629" s="1" t="str">
        <f>"Позитивний"</f>
        <v>Позитивний</v>
      </c>
      <c r="J2629" s="1" t="str">
        <f>"Ні"</f>
        <v>Ні</v>
      </c>
    </row>
    <row r="2630" spans="1:10" ht="45" x14ac:dyDescent="0.25">
      <c r="A2630" s="1" t="str">
        <f>"2689-2020/27"</f>
        <v>2689-2020/27</v>
      </c>
      <c r="B2630" s="1" t="str">
        <f t="shared" ref="B2630:B2668" si="458">"01.06.2020"</f>
        <v>01.06.2020</v>
      </c>
      <c r="C2630" s="1" t="str">
        <f t="shared" si="456"/>
        <v>Закрито</v>
      </c>
      <c r="D2630" s="1" t="str">
        <f>"Реєстрація місця проживання особи"</f>
        <v>Реєстрація місця проживання особи</v>
      </c>
      <c r="E2630" s="1" t="str">
        <f>"Реєстрація місця проживання"</f>
        <v>Реєстрація місця проживання</v>
      </c>
      <c r="F2630" s="1" t="str">
        <f>"Відділ реєстрації Новокаховської міської ради"</f>
        <v>Відділ реєстрації Новокаховської міської ради</v>
      </c>
      <c r="G2630" s="1" t="str">
        <f t="shared" ref="G2630:G2635" si="459">"1"</f>
        <v>1</v>
      </c>
      <c r="H2630" s="1" t="str">
        <f>"Результат"</f>
        <v>Результат</v>
      </c>
      <c r="I2630" s="1" t="str">
        <f>"Позитивний"</f>
        <v>Позитивний</v>
      </c>
      <c r="J2630" s="1" t="str">
        <f t="shared" ref="J2630:J2635" si="460">"Так"</f>
        <v>Так</v>
      </c>
    </row>
    <row r="2631" spans="1:10" ht="105" x14ac:dyDescent="0.25">
      <c r="A2631" s="1" t="str">
        <f>"2697-2020/27"</f>
        <v>2697-2020/27</v>
      </c>
      <c r="B2631" s="1" t="str">
        <f t="shared" si="458"/>
        <v>01.06.2020</v>
      </c>
      <c r="C2631" s="1" t="str">
        <f t="shared" si="456"/>
        <v>Закрито</v>
      </c>
      <c r="D263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31" s="1" t="str">
        <f>"Земельні питання"</f>
        <v>Земельні питання</v>
      </c>
      <c r="F263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631" s="1" t="str">
        <f t="shared" si="459"/>
        <v>1</v>
      </c>
      <c r="H2631" s="1" t="str">
        <f>"Результат"</f>
        <v>Результат</v>
      </c>
      <c r="I2631" s="1" t="str">
        <f>"Позитивний"</f>
        <v>Позитивний</v>
      </c>
      <c r="J2631" s="1" t="str">
        <f t="shared" si="460"/>
        <v>Так</v>
      </c>
    </row>
    <row r="2632" spans="1:10" ht="135" x14ac:dyDescent="0.25">
      <c r="A2632" s="1" t="str">
        <f>"2671-2020/27"</f>
        <v>2671-2020/27</v>
      </c>
      <c r="B2632" s="1" t="str">
        <f t="shared" si="458"/>
        <v>01.06.2020</v>
      </c>
      <c r="C2632" s="1" t="str">
        <f t="shared" si="456"/>
        <v>Закрито</v>
      </c>
      <c r="D263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32" s="1" t="str">
        <f>"Земельні питання"</f>
        <v>Земельні питання</v>
      </c>
      <c r="F26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32" s="1" t="str">
        <f t="shared" si="459"/>
        <v>1</v>
      </c>
      <c r="H2632" s="1" t="str">
        <f>"Результат"</f>
        <v>Результат</v>
      </c>
      <c r="I2632" s="1" t="str">
        <f>"Позитивний"</f>
        <v>Позитивний</v>
      </c>
      <c r="J2632" s="1" t="str">
        <f t="shared" si="460"/>
        <v>Так</v>
      </c>
    </row>
    <row r="2633" spans="1:10" ht="45" x14ac:dyDescent="0.25">
      <c r="A2633" s="1" t="str">
        <f>"2690-2020/27"</f>
        <v>2690-2020/27</v>
      </c>
      <c r="B2633" s="1" t="str">
        <f t="shared" si="458"/>
        <v>01.06.2020</v>
      </c>
      <c r="C2633" s="1" t="str">
        <f t="shared" si="456"/>
        <v>Закрито</v>
      </c>
      <c r="D2633" s="1" t="str">
        <f>"Реєстрація місця проживання особи"</f>
        <v>Реєстрація місця проживання особи</v>
      </c>
      <c r="E2633" s="1" t="str">
        <f>"Реєстрація місця проживання"</f>
        <v>Реєстрація місця проживання</v>
      </c>
      <c r="F2633" s="1" t="str">
        <f>"Відділ реєстрації Новокаховської міської ради"</f>
        <v>Відділ реєстрації Новокаховської міської ради</v>
      </c>
      <c r="G2633" s="1" t="str">
        <f t="shared" si="459"/>
        <v>1</v>
      </c>
      <c r="H2633" s="1" t="str">
        <f>"Результат"</f>
        <v>Результат</v>
      </c>
      <c r="I2633" s="1" t="str">
        <f>"Позитивний"</f>
        <v>Позитивний</v>
      </c>
      <c r="J2633" s="1" t="str">
        <f t="shared" si="460"/>
        <v>Так</v>
      </c>
    </row>
    <row r="2634" spans="1:10" ht="45" x14ac:dyDescent="0.25">
      <c r="A2634" s="1" t="str">
        <f>"2695-2020/27"</f>
        <v>2695-2020/27</v>
      </c>
      <c r="B2634" s="1" t="str">
        <f t="shared" si="458"/>
        <v>01.06.2020</v>
      </c>
      <c r="C2634" s="1" t="str">
        <f t="shared" si="456"/>
        <v>Закрито</v>
      </c>
      <c r="D2634" s="1" t="str">
        <f>"Зняття з реєстрації місця проживання"</f>
        <v>Зняття з реєстрації місця проживання</v>
      </c>
      <c r="E2634" s="1" t="str">
        <f>"Реєстрація місця проживання"</f>
        <v>Реєстрація місця проживання</v>
      </c>
      <c r="F2634" s="1" t="str">
        <f>"Відділ реєстрації Новокаховської міської ради"</f>
        <v>Відділ реєстрації Новокаховської міської ради</v>
      </c>
      <c r="G2634" s="1" t="str">
        <f t="shared" si="459"/>
        <v>1</v>
      </c>
      <c r="H2634" s="1" t="str">
        <f>"Результат"</f>
        <v>Результат</v>
      </c>
      <c r="I2634" s="1" t="str">
        <f>"Позитивний"</f>
        <v>Позитивний</v>
      </c>
      <c r="J2634" s="1" t="str">
        <f t="shared" si="460"/>
        <v>Так</v>
      </c>
    </row>
    <row r="2635" spans="1:10" ht="45" x14ac:dyDescent="0.25">
      <c r="A2635" s="1" t="str">
        <f>"2687-2020/27"</f>
        <v>2687-2020/27</v>
      </c>
      <c r="B2635" s="1" t="str">
        <f t="shared" si="458"/>
        <v>01.06.2020</v>
      </c>
      <c r="C2635" s="1" t="str">
        <f t="shared" si="456"/>
        <v>Закрито</v>
      </c>
      <c r="D2635" s="1" t="str">
        <f>"Реєстрація місця проживання особи"</f>
        <v>Реєстрація місця проживання особи</v>
      </c>
      <c r="E2635" s="1" t="str">
        <f>"Реєстрація місця проживання"</f>
        <v>Реєстрація місця проживання</v>
      </c>
      <c r="F2635" s="1" t="str">
        <f>"Відділ реєстрації Новокаховської міської ради"</f>
        <v>Відділ реєстрації Новокаховської міської ради</v>
      </c>
      <c r="G2635" s="1" t="str">
        <f t="shared" si="459"/>
        <v>1</v>
      </c>
      <c r="H2635" s="1" t="str">
        <f>"Результат"</f>
        <v>Результат</v>
      </c>
      <c r="I2635" s="1" t="str">
        <f>"Позитивний"</f>
        <v>Позитивний</v>
      </c>
      <c r="J2635" s="1" t="str">
        <f t="shared" si="460"/>
        <v>Так</v>
      </c>
    </row>
    <row r="2636" spans="1:10" ht="90" x14ac:dyDescent="0.25">
      <c r="A2636" s="1" t="str">
        <f>"369"</f>
        <v>369</v>
      </c>
      <c r="B2636" s="1" t="str">
        <f t="shared" si="458"/>
        <v>01.06.2020</v>
      </c>
      <c r="C2636" s="1" t="str">
        <f t="shared" si="456"/>
        <v>Закрито</v>
      </c>
      <c r="D2636" s="1" t="str">
        <f>"Видача дубліката дозволу на виконання будівельних робіт (що був виданий до 10 червня 2017 року)"</f>
        <v>Видача дубліката дозволу на виконання будівельних робіт (що був виданий до 10 червня 2017 року)</v>
      </c>
      <c r="E2636" s="1" t="str">
        <f>"Будівництво"</f>
        <v>Будівництво</v>
      </c>
      <c r="F263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636" s="1" t="str">
        <f>"10"</f>
        <v>10</v>
      </c>
      <c r="H2636" s="1" t="str">
        <f>"Результат"</f>
        <v>Результат</v>
      </c>
      <c r="I2636" s="1" t="str">
        <f>"Позитивний"</f>
        <v>Позитивний</v>
      </c>
      <c r="J2636" s="1" t="str">
        <f>"Ні"</f>
        <v>Ні</v>
      </c>
    </row>
    <row r="2637" spans="1:10" ht="135" x14ac:dyDescent="0.25">
      <c r="A2637" s="1" t="str">
        <f>"2685-2020/27"</f>
        <v>2685-2020/27</v>
      </c>
      <c r="B2637" s="1" t="str">
        <f t="shared" si="458"/>
        <v>01.06.2020</v>
      </c>
      <c r="C2637" s="1" t="str">
        <f t="shared" si="456"/>
        <v>Закрито</v>
      </c>
      <c r="D26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37" s="1" t="str">
        <f>"Земельні питання"</f>
        <v>Земельні питання</v>
      </c>
      <c r="F26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37" s="1" t="str">
        <f>"1"</f>
        <v>1</v>
      </c>
      <c r="H2637" s="1" t="str">
        <f>"Результат"</f>
        <v>Результат</v>
      </c>
      <c r="I2637" s="1" t="str">
        <f>"Позитивний"</f>
        <v>Позитивний</v>
      </c>
      <c r="J2637" s="1" t="str">
        <f t="shared" ref="J2637:J2642" si="461">"Так"</f>
        <v>Так</v>
      </c>
    </row>
    <row r="2638" spans="1:10" ht="45" x14ac:dyDescent="0.25">
      <c r="A2638" s="1" t="str">
        <f>"2673-2020/27"</f>
        <v>2673-2020/27</v>
      </c>
      <c r="B2638" s="1" t="str">
        <f t="shared" si="458"/>
        <v>01.06.2020</v>
      </c>
      <c r="C2638" s="1" t="str">
        <f t="shared" si="456"/>
        <v>Закрито</v>
      </c>
      <c r="D2638" s="1" t="str">
        <f>"Зняття з реєстрації місця проживання"</f>
        <v>Зняття з реєстрації місця проживання</v>
      </c>
      <c r="E2638" s="1" t="str">
        <f>"Реєстрація місця проживання"</f>
        <v>Реєстрація місця проживання</v>
      </c>
      <c r="F2638" s="1" t="str">
        <f>"Відділ реєстрації Новокаховської міської ради"</f>
        <v>Відділ реєстрації Новокаховської міської ради</v>
      </c>
      <c r="G2638" s="1" t="str">
        <f>"1"</f>
        <v>1</v>
      </c>
      <c r="H2638" s="1" t="str">
        <f>"Результат"</f>
        <v>Результат</v>
      </c>
      <c r="I2638" s="1" t="str">
        <f>"Позитивний"</f>
        <v>Позитивний</v>
      </c>
      <c r="J2638" s="1" t="str">
        <f t="shared" si="461"/>
        <v>Так</v>
      </c>
    </row>
    <row r="2639" spans="1:10" ht="45" x14ac:dyDescent="0.25">
      <c r="A2639" s="1" t="str">
        <f>"2677-2020/27"</f>
        <v>2677-2020/27</v>
      </c>
      <c r="B2639" s="1" t="str">
        <f t="shared" si="458"/>
        <v>01.06.2020</v>
      </c>
      <c r="C2639" s="1" t="str">
        <f t="shared" si="456"/>
        <v>Закрито</v>
      </c>
      <c r="D2639" s="1" t="str">
        <f>"Зняття з реєстрації місця проживання"</f>
        <v>Зняття з реєстрації місця проживання</v>
      </c>
      <c r="E2639" s="1" t="str">
        <f>"Реєстрація місця проживання"</f>
        <v>Реєстрація місця проживання</v>
      </c>
      <c r="F2639" s="1" t="str">
        <f>"Відділ реєстрації Новокаховської міської ради"</f>
        <v>Відділ реєстрації Новокаховської міської ради</v>
      </c>
      <c r="G2639" s="1" t="str">
        <f>"1"</f>
        <v>1</v>
      </c>
      <c r="H2639" s="1" t="str">
        <f>"Результат"</f>
        <v>Результат</v>
      </c>
      <c r="I2639" s="1" t="str">
        <f>"Мотивована відмова"</f>
        <v>Мотивована відмова</v>
      </c>
      <c r="J2639" s="1" t="str">
        <f t="shared" si="461"/>
        <v>Так</v>
      </c>
    </row>
    <row r="2640" spans="1:10" ht="45" x14ac:dyDescent="0.25">
      <c r="A2640" s="1" t="str">
        <f>"2680-2020/27"</f>
        <v>2680-2020/27</v>
      </c>
      <c r="B2640" s="1" t="str">
        <f t="shared" si="458"/>
        <v>01.06.2020</v>
      </c>
      <c r="C2640" s="1" t="str">
        <f t="shared" si="456"/>
        <v>Закрито</v>
      </c>
      <c r="D2640" s="1" t="str">
        <f>"Реєстрація місця проживання особи"</f>
        <v>Реєстрація місця проживання особи</v>
      </c>
      <c r="E2640" s="1" t="str">
        <f>"Реєстрація місця проживання"</f>
        <v>Реєстрація місця проживання</v>
      </c>
      <c r="F2640" s="1" t="str">
        <f>"Відділ реєстрації Новокаховської міської ради"</f>
        <v>Відділ реєстрації Новокаховської міської ради</v>
      </c>
      <c r="G2640" s="1" t="str">
        <f>"1"</f>
        <v>1</v>
      </c>
      <c r="H2640" s="1" t="str">
        <f>"Результат"</f>
        <v>Результат</v>
      </c>
      <c r="I2640" s="1" t="str">
        <f>"Позитивний"</f>
        <v>Позитивний</v>
      </c>
      <c r="J2640" s="1" t="str">
        <f t="shared" si="461"/>
        <v>Так</v>
      </c>
    </row>
    <row r="2641" spans="1:10" ht="45" x14ac:dyDescent="0.25">
      <c r="A2641" s="1" t="str">
        <f>"147"</f>
        <v>147</v>
      </c>
      <c r="B2641" s="1" t="str">
        <f t="shared" si="458"/>
        <v>01.06.2020</v>
      </c>
      <c r="C2641" s="1" t="str">
        <f t="shared" si="456"/>
        <v>Закрито</v>
      </c>
      <c r="D2641" s="1" t="str">
        <f>"Реєстрація місця проживання особи"</f>
        <v>Реєстрація місця проживання особи</v>
      </c>
      <c r="E2641" s="1" t="str">
        <f>"Реєстрація місця проживання"</f>
        <v>Реєстрація місця проживання</v>
      </c>
      <c r="F2641" s="1" t="str">
        <f>"Відділ реєстрації Новокаховської міської ради"</f>
        <v>Відділ реєстрації Новокаховської міської ради</v>
      </c>
      <c r="G2641" s="1" t="str">
        <f>"1"</f>
        <v>1</v>
      </c>
      <c r="H2641" s="1" t="str">
        <f>"Результат"</f>
        <v>Результат</v>
      </c>
      <c r="I2641" s="1" t="str">
        <f>"Позитивний"</f>
        <v>Позитивний</v>
      </c>
      <c r="J2641" s="1" t="str">
        <f t="shared" si="461"/>
        <v>Так</v>
      </c>
    </row>
    <row r="2642" spans="1:10" ht="135" x14ac:dyDescent="0.25">
      <c r="A2642" s="1" t="str">
        <f>"2698-2020/27"</f>
        <v>2698-2020/27</v>
      </c>
      <c r="B2642" s="1" t="str">
        <f t="shared" si="458"/>
        <v>01.06.2020</v>
      </c>
      <c r="C2642" s="1" t="str">
        <f t="shared" si="456"/>
        <v>Закрито</v>
      </c>
      <c r="D2642" s="1" t="str">
        <f>"Надання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(плану)"</f>
        <v>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</v>
      </c>
      <c r="E2642" s="1" t="str">
        <f>"Земельні питання"</f>
        <v>Земельні питання</v>
      </c>
      <c r="F26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42" s="1" t="str">
        <f>"3"</f>
        <v>3</v>
      </c>
      <c r="H2642" s="1" t="str">
        <f>"Результат"</f>
        <v>Результат</v>
      </c>
      <c r="I2642" s="1" t="str">
        <f>"Позитивний"</f>
        <v>Позитивний</v>
      </c>
      <c r="J2642" s="1" t="str">
        <f t="shared" si="461"/>
        <v>Так</v>
      </c>
    </row>
    <row r="2643" spans="1:10" ht="90" x14ac:dyDescent="0.25">
      <c r="A2643" s="1" t="str">
        <f>"2674-2020/27"</f>
        <v>2674-2020/27</v>
      </c>
      <c r="B2643" s="1" t="str">
        <f t="shared" si="458"/>
        <v>01.06.2020</v>
      </c>
      <c r="C2643" s="1" t="str">
        <f t="shared" si="456"/>
        <v>Закрито</v>
      </c>
      <c r="D264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43" s="1" t="str">
        <f>"Інші послуги"</f>
        <v>Інші послуги</v>
      </c>
      <c r="F264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43" s="1" t="str">
        <f>"5"</f>
        <v>5</v>
      </c>
      <c r="H2643" s="1" t="str">
        <f>"Результат"</f>
        <v>Результат</v>
      </c>
      <c r="I2643" s="1" t="str">
        <f>"Позитивний"</f>
        <v>Позитивний</v>
      </c>
      <c r="J2643" s="1" t="str">
        <f>"Ні"</f>
        <v>Ні</v>
      </c>
    </row>
    <row r="2644" spans="1:10" ht="90" x14ac:dyDescent="0.25">
      <c r="A2644" s="1" t="str">
        <f>"2700-2020/27"</f>
        <v>2700-2020/27</v>
      </c>
      <c r="B2644" s="1" t="str">
        <f t="shared" si="458"/>
        <v>01.06.2020</v>
      </c>
      <c r="C2644" s="1" t="str">
        <f t="shared" si="456"/>
        <v>Закрито</v>
      </c>
      <c r="D26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44" s="1" t="str">
        <f>"Інші послуги"</f>
        <v>Інші послуги</v>
      </c>
      <c r="F26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44" s="1" t="str">
        <f>"5"</f>
        <v>5</v>
      </c>
      <c r="H2644" s="1" t="str">
        <f>"Результат"</f>
        <v>Результат</v>
      </c>
      <c r="I2644" s="1" t="str">
        <f>"Позитивний"</f>
        <v>Позитивний</v>
      </c>
      <c r="J2644" s="1" t="str">
        <f>"Ні"</f>
        <v>Ні</v>
      </c>
    </row>
    <row r="2645" spans="1:10" ht="225" x14ac:dyDescent="0.25">
      <c r="A2645" s="1" t="str">
        <f>"2679-2020/27"</f>
        <v>2679-2020/27</v>
      </c>
      <c r="B2645" s="1" t="str">
        <f t="shared" si="458"/>
        <v>01.06.2020</v>
      </c>
      <c r="C2645" s="1" t="str">
        <f t="shared" si="456"/>
        <v>Закрито</v>
      </c>
      <c r="D2645" s="1" t="s">
        <v>1</v>
      </c>
      <c r="E2645" s="1" t="str">
        <f>"Будівництво"</f>
        <v>Будівництво</v>
      </c>
      <c r="F264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645" s="1" t="str">
        <f>"30"</f>
        <v>30</v>
      </c>
      <c r="H2645" s="1" t="str">
        <f>"Результат"</f>
        <v>Результат</v>
      </c>
      <c r="I2645" s="1" t="str">
        <f>"Позитивний"</f>
        <v>Позитивний</v>
      </c>
      <c r="J2645" s="1" t="str">
        <f>"Ні"</f>
        <v>Ні</v>
      </c>
    </row>
    <row r="2646" spans="1:10" ht="135" x14ac:dyDescent="0.25">
      <c r="A2646" s="1" t="str">
        <f>"2672-2020/27"</f>
        <v>2672-2020/27</v>
      </c>
      <c r="B2646" s="1" t="str">
        <f t="shared" si="458"/>
        <v>01.06.2020</v>
      </c>
      <c r="C2646" s="1" t="str">
        <f t="shared" si="456"/>
        <v>Закрито</v>
      </c>
      <c r="D264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46" s="1" t="str">
        <f>"Земельні питання"</f>
        <v>Земельні питання</v>
      </c>
      <c r="F26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46" s="1" t="str">
        <f>"3"</f>
        <v>3</v>
      </c>
      <c r="H2646" s="1" t="str">
        <f>"Результат"</f>
        <v>Результат</v>
      </c>
      <c r="I2646" s="1" t="str">
        <f>"Мотивована відмова"</f>
        <v>Мотивована відмова</v>
      </c>
      <c r="J2646" s="1" t="str">
        <f>"Ні"</f>
        <v>Ні</v>
      </c>
    </row>
    <row r="2647" spans="1:10" ht="105" x14ac:dyDescent="0.25">
      <c r="A2647" s="1" t="str">
        <f>"8112-2020/27"</f>
        <v>8112-2020/27</v>
      </c>
      <c r="B2647" s="1" t="str">
        <f t="shared" si="458"/>
        <v>01.06.2020</v>
      </c>
      <c r="C2647" s="1" t="str">
        <f t="shared" si="456"/>
        <v>Закрито</v>
      </c>
      <c r="D264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47" s="1" t="str">
        <f>"Земельні питання"</f>
        <v>Земельні питання</v>
      </c>
      <c r="F264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647" s="1" t="str">
        <f>"1"</f>
        <v>1</v>
      </c>
      <c r="H2647" s="1" t="str">
        <f>"Результат"</f>
        <v>Результат</v>
      </c>
      <c r="I2647" s="1" t="str">
        <f>"Позитивний"</f>
        <v>Позитивний</v>
      </c>
      <c r="J2647" s="1" t="str">
        <f>"Так"</f>
        <v>Так</v>
      </c>
    </row>
    <row r="2648" spans="1:10" ht="45" x14ac:dyDescent="0.25">
      <c r="A2648" s="1" t="str">
        <f>"2693-2020/27"</f>
        <v>2693-2020/27</v>
      </c>
      <c r="B2648" s="1" t="str">
        <f t="shared" si="458"/>
        <v>01.06.2020</v>
      </c>
      <c r="C2648" s="1" t="str">
        <f t="shared" si="456"/>
        <v>Закрито</v>
      </c>
      <c r="D2648" s="1" t="str">
        <f>"Реєстрація місця проживання особи"</f>
        <v>Реєстрація місця проживання особи</v>
      </c>
      <c r="E2648" s="1" t="str">
        <f>"Реєстрація місця проживання"</f>
        <v>Реєстрація місця проживання</v>
      </c>
      <c r="F2648" s="1" t="str">
        <f>"Відділ реєстрації Новокаховської міської ради"</f>
        <v>Відділ реєстрації Новокаховської міської ради</v>
      </c>
      <c r="G2648" s="1" t="str">
        <f>"1"</f>
        <v>1</v>
      </c>
      <c r="H2648" s="1" t="str">
        <f>"Результат"</f>
        <v>Результат</v>
      </c>
      <c r="I2648" s="1" t="str">
        <f>"Позитивний"</f>
        <v>Позитивний</v>
      </c>
      <c r="J2648" s="1" t="str">
        <f>"Так"</f>
        <v>Так</v>
      </c>
    </row>
    <row r="2649" spans="1:10" ht="90" x14ac:dyDescent="0.25">
      <c r="A2649" s="1" t="str">
        <f>"5"</f>
        <v>5</v>
      </c>
      <c r="B2649" s="1" t="str">
        <f t="shared" si="458"/>
        <v>01.06.2020</v>
      </c>
      <c r="C2649" s="1" t="str">
        <f t="shared" si="456"/>
        <v>Закрито</v>
      </c>
      <c r="D264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49" s="1" t="str">
        <f>"Інші послуги"</f>
        <v>Інші послуги</v>
      </c>
      <c r="F264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49" s="1" t="str">
        <f>"5"</f>
        <v>5</v>
      </c>
      <c r="H2649" s="1" t="str">
        <f>"Результат"</f>
        <v>Результат</v>
      </c>
      <c r="I2649" s="1" t="str">
        <f>"Позитивний"</f>
        <v>Позитивний</v>
      </c>
      <c r="J2649" s="1" t="str">
        <f>"Ні"</f>
        <v>Ні</v>
      </c>
    </row>
    <row r="2650" spans="1:10" ht="135" x14ac:dyDescent="0.25">
      <c r="A2650" s="1" t="str">
        <f>"2684-2020/27"</f>
        <v>2684-2020/27</v>
      </c>
      <c r="B2650" s="1" t="str">
        <f t="shared" si="458"/>
        <v>01.06.2020</v>
      </c>
      <c r="C2650" s="1" t="str">
        <f t="shared" si="456"/>
        <v>Закрито</v>
      </c>
      <c r="D265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50" s="1" t="str">
        <f>"Земельні питання"</f>
        <v>Земельні питання</v>
      </c>
      <c r="F26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50" s="1" t="str">
        <f>"14"</f>
        <v>14</v>
      </c>
      <c r="H2650" s="1" t="str">
        <f>"Результат"</f>
        <v>Результат</v>
      </c>
      <c r="I2650" s="1" t="str">
        <f>"Позитивний"</f>
        <v>Позитивний</v>
      </c>
      <c r="J2650" s="1" t="str">
        <f>"Ні"</f>
        <v>Ні</v>
      </c>
    </row>
    <row r="2651" spans="1:10" ht="45" x14ac:dyDescent="0.25">
      <c r="A2651" s="1" t="str">
        <f>"2681-2020/27"</f>
        <v>2681-2020/27</v>
      </c>
      <c r="B2651" s="1" t="str">
        <f t="shared" si="458"/>
        <v>01.06.2020</v>
      </c>
      <c r="C2651" s="1" t="str">
        <f t="shared" si="456"/>
        <v>Закрито</v>
      </c>
      <c r="D2651" s="1" t="str">
        <f>"Реєстрація місця проживання особи"</f>
        <v>Реєстрація місця проживання особи</v>
      </c>
      <c r="E2651" s="1" t="str">
        <f>"Реєстрація місця проживання"</f>
        <v>Реєстрація місця проживання</v>
      </c>
      <c r="F2651" s="1" t="str">
        <f>"Відділ реєстрації Новокаховської міської ради"</f>
        <v>Відділ реєстрації Новокаховської міської ради</v>
      </c>
      <c r="G2651" s="1" t="str">
        <f>"1"</f>
        <v>1</v>
      </c>
      <c r="H2651" s="1" t="str">
        <f>"Результат"</f>
        <v>Результат</v>
      </c>
      <c r="I2651" s="1" t="str">
        <f>"Позитивний"</f>
        <v>Позитивний</v>
      </c>
      <c r="J2651" s="1" t="str">
        <f>"Так"</f>
        <v>Так</v>
      </c>
    </row>
    <row r="2652" spans="1:10" ht="135" x14ac:dyDescent="0.25">
      <c r="A2652" s="1" t="str">
        <f>"2701-2020/27"</f>
        <v>2701-2020/27</v>
      </c>
      <c r="B2652" s="1" t="str">
        <f t="shared" si="458"/>
        <v>01.06.2020</v>
      </c>
      <c r="C2652" s="1" t="str">
        <f t="shared" si="456"/>
        <v>Закрито</v>
      </c>
      <c r="D2652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652" s="1" t="str">
        <f>"Земельні питання"</f>
        <v>Земельні питання</v>
      </c>
      <c r="F26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52" s="1" t="str">
        <f>"14"</f>
        <v>14</v>
      </c>
      <c r="H2652" s="1" t="str">
        <f>"Результат"</f>
        <v>Результат</v>
      </c>
      <c r="I2652" s="1" t="str">
        <f>"Позитивний"</f>
        <v>Позитивний</v>
      </c>
      <c r="J2652" s="1" t="str">
        <f>"Ні"</f>
        <v>Ні</v>
      </c>
    </row>
    <row r="2653" spans="1:10" ht="135" x14ac:dyDescent="0.25">
      <c r="A2653" s="1" t="str">
        <f>"2699-2020/27"</f>
        <v>2699-2020/27</v>
      </c>
      <c r="B2653" s="1" t="str">
        <f t="shared" si="458"/>
        <v>01.06.2020</v>
      </c>
      <c r="C2653" s="1" t="str">
        <f t="shared" si="456"/>
        <v>Закрито</v>
      </c>
      <c r="D2653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653" s="1" t="str">
        <f>"Земельні питання"</f>
        <v>Земельні питання</v>
      </c>
      <c r="F26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53" s="1" t="str">
        <f>"14"</f>
        <v>14</v>
      </c>
      <c r="H2653" s="1" t="str">
        <f>"Результат"</f>
        <v>Результат</v>
      </c>
      <c r="I2653" s="1" t="str">
        <f>"Позитивний"</f>
        <v>Позитивний</v>
      </c>
      <c r="J2653" s="1" t="str">
        <f>"Ні"</f>
        <v>Ні</v>
      </c>
    </row>
    <row r="2654" spans="1:10" ht="45" x14ac:dyDescent="0.25">
      <c r="A2654" s="1" t="str">
        <f>"2676-2020/27"</f>
        <v>2676-2020/27</v>
      </c>
      <c r="B2654" s="1" t="str">
        <f t="shared" si="458"/>
        <v>01.06.2020</v>
      </c>
      <c r="C2654" s="1" t="str">
        <f t="shared" si="456"/>
        <v>Закрито</v>
      </c>
      <c r="D2654" s="1" t="str">
        <f>"Зняття з реєстрації місця проживання"</f>
        <v>Зняття з реєстрації місця проживання</v>
      </c>
      <c r="E2654" s="1" t="str">
        <f>"Реєстрація місця проживання"</f>
        <v>Реєстрація місця проживання</v>
      </c>
      <c r="F2654" s="1" t="str">
        <f>"Відділ реєстрації Новокаховської міської ради"</f>
        <v>Відділ реєстрації Новокаховської міської ради</v>
      </c>
      <c r="G2654" s="1" t="str">
        <f>"1"</f>
        <v>1</v>
      </c>
      <c r="H2654" s="1" t="str">
        <f>"Результат"</f>
        <v>Результат</v>
      </c>
      <c r="I2654" s="1" t="str">
        <f>"Мотивована відмова"</f>
        <v>Мотивована відмова</v>
      </c>
      <c r="J2654" s="1" t="str">
        <f>"Так"</f>
        <v>Так</v>
      </c>
    </row>
    <row r="2655" spans="1:10" ht="135" x14ac:dyDescent="0.25">
      <c r="A2655" s="1" t="str">
        <f>"2670-2020/27"</f>
        <v>2670-2020/27</v>
      </c>
      <c r="B2655" s="1" t="str">
        <f t="shared" si="458"/>
        <v>01.06.2020</v>
      </c>
      <c r="C2655" s="1" t="str">
        <f t="shared" si="456"/>
        <v>Закрито</v>
      </c>
      <c r="D2655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655" s="1" t="str">
        <f>"Земельні питання"</f>
        <v>Земельні питання</v>
      </c>
      <c r="F26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55" s="1" t="str">
        <f>"14"</f>
        <v>14</v>
      </c>
      <c r="H2655" s="1" t="str">
        <f>"Результат"</f>
        <v>Результат</v>
      </c>
      <c r="I2655" s="1" t="str">
        <f>"Позитивний"</f>
        <v>Позитивний</v>
      </c>
      <c r="J2655" s="1" t="str">
        <f>"Ні"</f>
        <v>Ні</v>
      </c>
    </row>
    <row r="2656" spans="1:10" ht="45" x14ac:dyDescent="0.25">
      <c r="A2656" s="1" t="str">
        <f>"2694-2020/27"</f>
        <v>2694-2020/27</v>
      </c>
      <c r="B2656" s="1" t="str">
        <f t="shared" si="458"/>
        <v>01.06.2020</v>
      </c>
      <c r="C2656" s="1" t="str">
        <f t="shared" ref="C2656:C2673" si="462">"Закрито"</f>
        <v>Закрито</v>
      </c>
      <c r="D2656" s="1" t="str">
        <f>"Зняття з реєстрації місця проживання"</f>
        <v>Зняття з реєстрації місця проживання</v>
      </c>
      <c r="E2656" s="1" t="str">
        <f>"Реєстрація місця проживання"</f>
        <v>Реєстрація місця проживання</v>
      </c>
      <c r="F2656" s="1" t="str">
        <f>"Відділ реєстрації Новокаховської міської ради"</f>
        <v>Відділ реєстрації Новокаховської міської ради</v>
      </c>
      <c r="G2656" s="1" t="str">
        <f>"1"</f>
        <v>1</v>
      </c>
      <c r="H2656" s="1" t="str">
        <f>"Результат"</f>
        <v>Результат</v>
      </c>
      <c r="I2656" s="1" t="str">
        <f>"Позитивний"</f>
        <v>Позитивний</v>
      </c>
      <c r="J2656" s="1" t="str">
        <f>"Так"</f>
        <v>Так</v>
      </c>
    </row>
    <row r="2657" spans="1:10" ht="135" x14ac:dyDescent="0.25">
      <c r="A2657" s="1" t="str">
        <f>"2683-2020/27"</f>
        <v>2683-2020/27</v>
      </c>
      <c r="B2657" s="1" t="str">
        <f t="shared" si="458"/>
        <v>01.06.2020</v>
      </c>
      <c r="C2657" s="1" t="str">
        <f t="shared" si="462"/>
        <v>Закрито</v>
      </c>
      <c r="D265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57" s="1" t="str">
        <f>"Земельні питання"</f>
        <v>Земельні питання</v>
      </c>
      <c r="F26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57" s="1" t="str">
        <f>"3"</f>
        <v>3</v>
      </c>
      <c r="H2657" s="1" t="str">
        <f>"Результат"</f>
        <v>Результат</v>
      </c>
      <c r="I2657" s="1" t="str">
        <f>"Позитивний"</f>
        <v>Позитивний</v>
      </c>
      <c r="J2657" s="1" t="str">
        <f>"Ні"</f>
        <v>Ні</v>
      </c>
    </row>
    <row r="2658" spans="1:10" ht="135" x14ac:dyDescent="0.25">
      <c r="A2658" s="1" t="str">
        <f>"2678-2020/27"</f>
        <v>2678-2020/27</v>
      </c>
      <c r="B2658" s="1" t="str">
        <f t="shared" si="458"/>
        <v>01.06.2020</v>
      </c>
      <c r="C2658" s="1" t="str">
        <f t="shared" si="462"/>
        <v>Закрито</v>
      </c>
      <c r="D265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58" s="1" t="str">
        <f>"Земельні питання"</f>
        <v>Земельні питання</v>
      </c>
      <c r="F26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58" s="1" t="str">
        <f>"3"</f>
        <v>3</v>
      </c>
      <c r="H2658" s="1" t="str">
        <f>"Результат"</f>
        <v>Результат</v>
      </c>
      <c r="I2658" s="1" t="str">
        <f>"Позитивний"</f>
        <v>Позитивний</v>
      </c>
      <c r="J2658" s="1" t="str">
        <f>"Ні"</f>
        <v>Ні</v>
      </c>
    </row>
    <row r="2659" spans="1:10" ht="90" x14ac:dyDescent="0.25">
      <c r="A2659" s="1" t="str">
        <f>"test-0106"</f>
        <v>test-0106</v>
      </c>
      <c r="B2659" s="1" t="str">
        <f t="shared" si="458"/>
        <v>01.06.2020</v>
      </c>
      <c r="C2659" s="1" t="str">
        <f t="shared" si="462"/>
        <v>Закрито</v>
      </c>
      <c r="D265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59" s="1" t="str">
        <f>"Інші послуги"</f>
        <v>Інші послуги</v>
      </c>
      <c r="F265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59" s="1" t="str">
        <f>"5"</f>
        <v>5</v>
      </c>
      <c r="H2659" s="1" t="str">
        <f>"Результат"</f>
        <v>Результат</v>
      </c>
      <c r="I2659" s="1" t="str">
        <f>"Позитивний"</f>
        <v>Позитивний</v>
      </c>
      <c r="J2659" s="1" t="str">
        <f>"Ні"</f>
        <v>Ні</v>
      </c>
    </row>
    <row r="2660" spans="1:10" ht="135" x14ac:dyDescent="0.25">
      <c r="A2660" s="1" t="str">
        <f>"2686-2020/27"</f>
        <v>2686-2020/27</v>
      </c>
      <c r="B2660" s="1" t="str">
        <f t="shared" si="458"/>
        <v>01.06.2020</v>
      </c>
      <c r="C2660" s="1" t="str">
        <f t="shared" si="462"/>
        <v>Закрито</v>
      </c>
      <c r="D26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60" s="1" t="str">
        <f>"Земельні питання"</f>
        <v>Земельні питання</v>
      </c>
      <c r="F26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60" s="1" t="str">
        <f>"1"</f>
        <v>1</v>
      </c>
      <c r="H2660" s="1" t="str">
        <f>"Результат"</f>
        <v>Результат</v>
      </c>
      <c r="I2660" s="1" t="str">
        <f>"Позитивний"</f>
        <v>Позитивний</v>
      </c>
      <c r="J2660" s="1" t="str">
        <f>"Так"</f>
        <v>Так</v>
      </c>
    </row>
    <row r="2661" spans="1:10" ht="90" x14ac:dyDescent="0.25">
      <c r="A2661" s="1" t="str">
        <f>"2692-2020/27"</f>
        <v>2692-2020/27</v>
      </c>
      <c r="B2661" s="1" t="str">
        <f t="shared" si="458"/>
        <v>01.06.2020</v>
      </c>
      <c r="C2661" s="1" t="str">
        <f t="shared" si="462"/>
        <v>Закрито</v>
      </c>
      <c r="D266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61" s="1" t="str">
        <f>"Інші послуги"</f>
        <v>Інші послуги</v>
      </c>
      <c r="F266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61" s="1" t="str">
        <f>"5"</f>
        <v>5</v>
      </c>
      <c r="H2661" s="1" t="str">
        <f>"Результат"</f>
        <v>Результат</v>
      </c>
      <c r="I2661" s="1" t="str">
        <f>"Позитивний"</f>
        <v>Позитивний</v>
      </c>
      <c r="J2661" s="1" t="str">
        <f>"Ні"</f>
        <v>Ні</v>
      </c>
    </row>
    <row r="2662" spans="1:10" ht="135" x14ac:dyDescent="0.25">
      <c r="A2662" s="1" t="str">
        <f>"2669-2020/27"</f>
        <v>2669-2020/27</v>
      </c>
      <c r="B2662" s="1" t="str">
        <f t="shared" si="458"/>
        <v>01.06.2020</v>
      </c>
      <c r="C2662" s="1" t="str">
        <f t="shared" si="462"/>
        <v>Закрито</v>
      </c>
      <c r="D2662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662" s="1" t="str">
        <f>"Земельні питання"</f>
        <v>Земельні питання</v>
      </c>
      <c r="F26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62" s="1" t="str">
        <f>"14"</f>
        <v>14</v>
      </c>
      <c r="H2662" s="1" t="str">
        <f>"Результат"</f>
        <v>Результат</v>
      </c>
      <c r="I2662" s="1" t="str">
        <f>"Позитивний"</f>
        <v>Позитивний</v>
      </c>
      <c r="J2662" s="1" t="str">
        <f>"Ні"</f>
        <v>Ні</v>
      </c>
    </row>
    <row r="2663" spans="1:10" ht="45" x14ac:dyDescent="0.25">
      <c r="A2663" s="1" t="str">
        <f>"2688-2020/27"</f>
        <v>2688-2020/27</v>
      </c>
      <c r="B2663" s="1" t="str">
        <f t="shared" si="458"/>
        <v>01.06.2020</v>
      </c>
      <c r="C2663" s="1" t="str">
        <f t="shared" si="462"/>
        <v>Закрито</v>
      </c>
      <c r="D2663" s="1" t="str">
        <f>"Реєстрація місця проживання особи"</f>
        <v>Реєстрація місця проживання особи</v>
      </c>
      <c r="E2663" s="1" t="str">
        <f>"Реєстрація місця проживання"</f>
        <v>Реєстрація місця проживання</v>
      </c>
      <c r="F2663" s="1" t="str">
        <f>"Відділ реєстрації Новокаховської міської ради"</f>
        <v>Відділ реєстрації Новокаховської міської ради</v>
      </c>
      <c r="G2663" s="1" t="str">
        <f t="shared" ref="G2663:G2671" si="463">"1"</f>
        <v>1</v>
      </c>
      <c r="H2663" s="1" t="str">
        <f>"Результат"</f>
        <v>Результат</v>
      </c>
      <c r="I2663" s="1" t="str">
        <f>"Позитивний"</f>
        <v>Позитивний</v>
      </c>
      <c r="J2663" s="1" t="str">
        <f>"Так"</f>
        <v>Так</v>
      </c>
    </row>
    <row r="2664" spans="1:10" ht="45" x14ac:dyDescent="0.25">
      <c r="A2664" s="1" t="str">
        <f>"2675-2020/27"</f>
        <v>2675-2020/27</v>
      </c>
      <c r="B2664" s="1" t="str">
        <f t="shared" si="458"/>
        <v>01.06.2020</v>
      </c>
      <c r="C2664" s="1" t="str">
        <f t="shared" si="462"/>
        <v>Закрито</v>
      </c>
      <c r="D2664" s="1" t="str">
        <f>"Реєстрація місця проживання особи"</f>
        <v>Реєстрація місця проживання особи</v>
      </c>
      <c r="E2664" s="1" t="str">
        <f>"Реєстрація місця проживання"</f>
        <v>Реєстрація місця проживання</v>
      </c>
      <c r="F2664" s="1" t="str">
        <f>"Відділ реєстрації Новокаховської міської ради"</f>
        <v>Відділ реєстрації Новокаховської міської ради</v>
      </c>
      <c r="G2664" s="1" t="str">
        <f t="shared" si="463"/>
        <v>1</v>
      </c>
      <c r="H2664" s="1" t="str">
        <f>"Результат"</f>
        <v>Результат</v>
      </c>
      <c r="I2664" s="1" t="str">
        <f>"Позитивний"</f>
        <v>Позитивний</v>
      </c>
      <c r="J2664" s="1" t="str">
        <f>"Так"</f>
        <v>Так</v>
      </c>
    </row>
    <row r="2665" spans="1:10" ht="105" x14ac:dyDescent="0.25">
      <c r="A2665" s="1" t="str">
        <f>"2696-2020/27"</f>
        <v>2696-2020/27</v>
      </c>
      <c r="B2665" s="1" t="str">
        <f t="shared" si="458"/>
        <v>01.06.2020</v>
      </c>
      <c r="C2665" s="1" t="str">
        <f t="shared" si="462"/>
        <v>Закрито</v>
      </c>
      <c r="D26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65" s="1" t="str">
        <f>"Земельні питання"</f>
        <v>Земельні питання</v>
      </c>
      <c r="F266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665" s="1" t="str">
        <f t="shared" si="463"/>
        <v>1</v>
      </c>
      <c r="H2665" s="1" t="str">
        <f>"Результат"</f>
        <v>Результат</v>
      </c>
      <c r="I2665" s="1" t="str">
        <f>"Позитивний"</f>
        <v>Позитивний</v>
      </c>
      <c r="J2665" s="1" t="str">
        <f>"Ні"</f>
        <v>Ні</v>
      </c>
    </row>
    <row r="2666" spans="1:10" ht="45" x14ac:dyDescent="0.25">
      <c r="A2666" s="1" t="str">
        <f>"258"</f>
        <v>258</v>
      </c>
      <c r="B2666" s="1" t="str">
        <f t="shared" si="458"/>
        <v>01.06.2020</v>
      </c>
      <c r="C2666" s="1" t="str">
        <f t="shared" si="462"/>
        <v>Закрито</v>
      </c>
      <c r="D2666" s="1" t="str">
        <f>"Зняття з реєстрації місця проживання"</f>
        <v>Зняття з реєстрації місця проживання</v>
      </c>
      <c r="E2666" s="1" t="str">
        <f t="shared" ref="E2666:E2671" si="464">"Реєстрація місця проживання"</f>
        <v>Реєстрація місця проживання</v>
      </c>
      <c r="F2666" s="1" t="str">
        <f t="shared" ref="F2666:F2671" si="465">"Відділ реєстрації Новокаховської міської ради"</f>
        <v>Відділ реєстрації Новокаховської міської ради</v>
      </c>
      <c r="G2666" s="1" t="str">
        <f t="shared" si="463"/>
        <v>1</v>
      </c>
      <c r="H2666" s="1" t="str">
        <f>"Результат"</f>
        <v>Результат</v>
      </c>
      <c r="I2666" s="1" t="str">
        <f>"Позитивний"</f>
        <v>Позитивний</v>
      </c>
      <c r="J2666" s="1" t="str">
        <f>"Ні"</f>
        <v>Ні</v>
      </c>
    </row>
    <row r="2667" spans="1:10" ht="45" x14ac:dyDescent="0.25">
      <c r="A2667" s="1" t="str">
        <f>"2682-2020/27"</f>
        <v>2682-2020/27</v>
      </c>
      <c r="B2667" s="1" t="str">
        <f t="shared" si="458"/>
        <v>01.06.2020</v>
      </c>
      <c r="C2667" s="1" t="str">
        <f t="shared" si="462"/>
        <v>Закрито</v>
      </c>
      <c r="D2667" s="1" t="str">
        <f>"Реєстрація місця проживання особи"</f>
        <v>Реєстрація місця проживання особи</v>
      </c>
      <c r="E2667" s="1" t="str">
        <f t="shared" si="464"/>
        <v>Реєстрація місця проживання</v>
      </c>
      <c r="F2667" s="1" t="str">
        <f t="shared" si="465"/>
        <v>Відділ реєстрації Новокаховської міської ради</v>
      </c>
      <c r="G2667" s="1" t="str">
        <f t="shared" si="463"/>
        <v>1</v>
      </c>
      <c r="H2667" s="1" t="str">
        <f>"Результат"</f>
        <v>Результат</v>
      </c>
      <c r="I2667" s="1" t="str">
        <f>"Позитивний"</f>
        <v>Позитивний</v>
      </c>
      <c r="J2667" s="1" t="str">
        <f>"Так"</f>
        <v>Так</v>
      </c>
    </row>
    <row r="2668" spans="1:10" ht="45" x14ac:dyDescent="0.25">
      <c r="A2668" s="1" t="str">
        <f>"2691-2020/27"</f>
        <v>2691-2020/27</v>
      </c>
      <c r="B2668" s="1" t="str">
        <f t="shared" si="458"/>
        <v>01.06.2020</v>
      </c>
      <c r="C2668" s="1" t="str">
        <f t="shared" si="462"/>
        <v>Закрито</v>
      </c>
      <c r="D2668" s="1" t="str">
        <f>"Реєстрація місця проживання особи"</f>
        <v>Реєстрація місця проживання особи</v>
      </c>
      <c r="E2668" s="1" t="str">
        <f t="shared" si="464"/>
        <v>Реєстрація місця проживання</v>
      </c>
      <c r="F2668" s="1" t="str">
        <f t="shared" si="465"/>
        <v>Відділ реєстрації Новокаховської міської ради</v>
      </c>
      <c r="G2668" s="1" t="str">
        <f t="shared" si="463"/>
        <v>1</v>
      </c>
      <c r="H2668" s="1" t="str">
        <f>"Результат"</f>
        <v>Результат</v>
      </c>
      <c r="I2668" s="1" t="str">
        <f>"Позитивний"</f>
        <v>Позитивний</v>
      </c>
      <c r="J2668" s="1" t="str">
        <f>"Так"</f>
        <v>Так</v>
      </c>
    </row>
    <row r="2669" spans="1:10" ht="45" x14ac:dyDescent="0.25">
      <c r="A2669" s="1" t="str">
        <f>"2740-2020/27"</f>
        <v>2740-2020/27</v>
      </c>
      <c r="B2669" s="1" t="str">
        <f t="shared" ref="B2669:B2716" si="466">"02.06.2020"</f>
        <v>02.06.2020</v>
      </c>
      <c r="C2669" s="1" t="str">
        <f t="shared" si="462"/>
        <v>Закрито</v>
      </c>
      <c r="D2669" s="1" t="str">
        <f>"Реєстрація місця проживання особи"</f>
        <v>Реєстрація місця проживання особи</v>
      </c>
      <c r="E2669" s="1" t="str">
        <f t="shared" si="464"/>
        <v>Реєстрація місця проживання</v>
      </c>
      <c r="F2669" s="1" t="str">
        <f t="shared" si="465"/>
        <v>Відділ реєстрації Новокаховської міської ради</v>
      </c>
      <c r="G2669" s="1" t="str">
        <f t="shared" si="463"/>
        <v>1</v>
      </c>
      <c r="H2669" s="1" t="str">
        <f>"Результат"</f>
        <v>Результат</v>
      </c>
      <c r="I2669" s="1" t="str">
        <f>"Позитивний"</f>
        <v>Позитивний</v>
      </c>
      <c r="J2669" s="1" t="str">
        <f>"Так"</f>
        <v>Так</v>
      </c>
    </row>
    <row r="2670" spans="1:10" ht="45" x14ac:dyDescent="0.25">
      <c r="A2670" s="1" t="str">
        <f>"2731-2020/27"</f>
        <v>2731-2020/27</v>
      </c>
      <c r="B2670" s="1" t="str">
        <f t="shared" si="466"/>
        <v>02.06.2020</v>
      </c>
      <c r="C2670" s="1" t="str">
        <f t="shared" si="462"/>
        <v>Закрито</v>
      </c>
      <c r="D2670" s="1" t="str">
        <f>"Реєстрація місця проживання особи"</f>
        <v>Реєстрація місця проживання особи</v>
      </c>
      <c r="E2670" s="1" t="str">
        <f t="shared" si="464"/>
        <v>Реєстрація місця проживання</v>
      </c>
      <c r="F2670" s="1" t="str">
        <f t="shared" si="465"/>
        <v>Відділ реєстрації Новокаховської міської ради</v>
      </c>
      <c r="G2670" s="1" t="str">
        <f t="shared" si="463"/>
        <v>1</v>
      </c>
      <c r="H2670" s="1" t="str">
        <f>"Результат"</f>
        <v>Результат</v>
      </c>
      <c r="I2670" s="1" t="str">
        <f>"Позитивний"</f>
        <v>Позитивний</v>
      </c>
      <c r="J2670" s="1" t="str">
        <f>"Так"</f>
        <v>Так</v>
      </c>
    </row>
    <row r="2671" spans="1:10" ht="45" x14ac:dyDescent="0.25">
      <c r="A2671" s="1" t="str">
        <f>"2730-2020/27"</f>
        <v>2730-2020/27</v>
      </c>
      <c r="B2671" s="1" t="str">
        <f t="shared" si="466"/>
        <v>02.06.2020</v>
      </c>
      <c r="C2671" s="1" t="str">
        <f t="shared" si="462"/>
        <v>Закрито</v>
      </c>
      <c r="D2671" s="1" t="str">
        <f>"Реєстрація місця проживання особи"</f>
        <v>Реєстрація місця проживання особи</v>
      </c>
      <c r="E2671" s="1" t="str">
        <f t="shared" si="464"/>
        <v>Реєстрація місця проживання</v>
      </c>
      <c r="F2671" s="1" t="str">
        <f t="shared" si="465"/>
        <v>Відділ реєстрації Новокаховської міської ради</v>
      </c>
      <c r="G2671" s="1" t="str">
        <f t="shared" si="463"/>
        <v>1</v>
      </c>
      <c r="H2671" s="1" t="str">
        <f>"Результат"</f>
        <v>Результат</v>
      </c>
      <c r="I2671" s="1" t="str">
        <f>"Позитивний"</f>
        <v>Позитивний</v>
      </c>
      <c r="J2671" s="1" t="str">
        <f>"Так"</f>
        <v>Так</v>
      </c>
    </row>
    <row r="2672" spans="1:10" ht="135" x14ac:dyDescent="0.25">
      <c r="A2672" s="1" t="str">
        <f>"2736-2020/27"</f>
        <v>2736-2020/27</v>
      </c>
      <c r="B2672" s="1" t="str">
        <f t="shared" si="466"/>
        <v>02.06.2020</v>
      </c>
      <c r="C2672" s="1" t="str">
        <f t="shared" si="462"/>
        <v>Закрито</v>
      </c>
      <c r="D267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72" s="1" t="str">
        <f>"Земельні питання"</f>
        <v>Земельні питання</v>
      </c>
      <c r="F26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72" s="1" t="str">
        <f>"3"</f>
        <v>3</v>
      </c>
      <c r="H2672" s="1" t="str">
        <f>"Результат"</f>
        <v>Результат</v>
      </c>
      <c r="I2672" s="1" t="str">
        <f>"Позитивний"</f>
        <v>Позитивний</v>
      </c>
      <c r="J2672" s="1" t="str">
        <f>"Ні"</f>
        <v>Ні</v>
      </c>
    </row>
    <row r="2673" spans="1:10" ht="135" x14ac:dyDescent="0.25">
      <c r="A2673" s="1" t="str">
        <f>"2717-2020/27"</f>
        <v>2717-2020/27</v>
      </c>
      <c r="B2673" s="1" t="str">
        <f t="shared" si="466"/>
        <v>02.06.2020</v>
      </c>
      <c r="C2673" s="1" t="str">
        <f t="shared" si="462"/>
        <v>Закрито</v>
      </c>
      <c r="D267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73" s="1" t="str">
        <f>"Земельні питання"</f>
        <v>Земельні питання</v>
      </c>
      <c r="F26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73" s="1" t="str">
        <f>"1"</f>
        <v>1</v>
      </c>
      <c r="H2673" s="1" t="str">
        <f>"Результат"</f>
        <v>Результат</v>
      </c>
      <c r="I2673" s="1" t="str">
        <f>"Позитивний"</f>
        <v>Позитивний</v>
      </c>
      <c r="J2673" s="1" t="str">
        <f>"Так"</f>
        <v>Так</v>
      </c>
    </row>
    <row r="2674" spans="1:10" ht="225" x14ac:dyDescent="0.25">
      <c r="A2674" s="1" t="str">
        <f>"2727-2020/27"</f>
        <v>2727-2020/27</v>
      </c>
      <c r="B2674" s="1" t="str">
        <f t="shared" si="466"/>
        <v>02.06.2020</v>
      </c>
      <c r="C2674" s="1" t="str">
        <f>"На обробці в адмін. органі"</f>
        <v>На обробці в адмін. органі</v>
      </c>
      <c r="D2674" s="1" t="s">
        <v>1</v>
      </c>
      <c r="E2674" s="1" t="str">
        <f>"Будівництво"</f>
        <v>Будівництво</v>
      </c>
      <c r="F267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674" s="1" t="str">
        <f>"30"</f>
        <v>30</v>
      </c>
      <c r="H2674" s="1" t="str">
        <f>""</f>
        <v/>
      </c>
      <c r="I2674" s="1" t="str">
        <f>""</f>
        <v/>
      </c>
      <c r="J2674" s="1" t="str">
        <f>"Ні"</f>
        <v>Ні</v>
      </c>
    </row>
    <row r="2675" spans="1:10" ht="45" x14ac:dyDescent="0.25">
      <c r="A2675" s="1" t="str">
        <f>"2704-2020/27"</f>
        <v>2704-2020/27</v>
      </c>
      <c r="B2675" s="1" t="str">
        <f t="shared" si="466"/>
        <v>02.06.2020</v>
      </c>
      <c r="C2675" s="1" t="str">
        <f>"Закрито"</f>
        <v>Закрито</v>
      </c>
      <c r="D2675" s="1" t="str">
        <f>"Реєстрація місця проживання особи"</f>
        <v>Реєстрація місця проживання особи</v>
      </c>
      <c r="E2675" s="1" t="str">
        <f>"Реєстрація місця проживання"</f>
        <v>Реєстрація місця проживання</v>
      </c>
      <c r="F2675" s="1" t="str">
        <f>"Відділ реєстрації Новокаховської міської ради"</f>
        <v>Відділ реєстрації Новокаховської міської ради</v>
      </c>
      <c r="G2675" s="1" t="str">
        <f>"1"</f>
        <v>1</v>
      </c>
      <c r="H2675" s="1" t="str">
        <f>"Результат"</f>
        <v>Результат</v>
      </c>
      <c r="I2675" s="1" t="str">
        <f>"Позитивний"</f>
        <v>Позитивний</v>
      </c>
      <c r="J2675" s="1" t="str">
        <f>"Так"</f>
        <v>Так</v>
      </c>
    </row>
    <row r="2676" spans="1:10" ht="45" x14ac:dyDescent="0.25">
      <c r="A2676" s="1" t="str">
        <f>"2703-2020/27"</f>
        <v>2703-2020/27</v>
      </c>
      <c r="B2676" s="1" t="str">
        <f t="shared" si="466"/>
        <v>02.06.2020</v>
      </c>
      <c r="C2676" s="1" t="str">
        <f>"Закрито"</f>
        <v>Закрито</v>
      </c>
      <c r="D2676" s="1" t="str">
        <f>"Реєстрація місця проживання особи"</f>
        <v>Реєстрація місця проживання особи</v>
      </c>
      <c r="E2676" s="1" t="str">
        <f>"Реєстрація місця проживання"</f>
        <v>Реєстрація місця проживання</v>
      </c>
      <c r="F2676" s="1" t="str">
        <f>"Відділ реєстрації Новокаховської міської ради"</f>
        <v>Відділ реєстрації Новокаховської міської ради</v>
      </c>
      <c r="G2676" s="1" t="str">
        <f>"1"</f>
        <v>1</v>
      </c>
      <c r="H2676" s="1" t="str">
        <f>"Результат"</f>
        <v>Результат</v>
      </c>
      <c r="I2676" s="1" t="str">
        <f>"Позитивний"</f>
        <v>Позитивний</v>
      </c>
      <c r="J2676" s="1" t="str">
        <f>"Так"</f>
        <v>Так</v>
      </c>
    </row>
    <row r="2677" spans="1:10" ht="135" x14ac:dyDescent="0.25">
      <c r="A2677" s="1" t="str">
        <f>"2737-2020/27"</f>
        <v>2737-2020/27</v>
      </c>
      <c r="B2677" s="1" t="str">
        <f t="shared" si="466"/>
        <v>02.06.2020</v>
      </c>
      <c r="C2677" s="1" t="str">
        <f>"Закрито"</f>
        <v>Закрито</v>
      </c>
      <c r="D267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77" s="1" t="str">
        <f>"Земельні питання"</f>
        <v>Земельні питання</v>
      </c>
      <c r="F26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77" s="1" t="str">
        <f>"3"</f>
        <v>3</v>
      </c>
      <c r="H2677" s="1" t="str">
        <f>"Результат"</f>
        <v>Результат</v>
      </c>
      <c r="I2677" s="1" t="str">
        <f>"Позитивний"</f>
        <v>Позитивний</v>
      </c>
      <c r="J2677" s="1" t="str">
        <f>"Ні"</f>
        <v>Ні</v>
      </c>
    </row>
    <row r="2678" spans="1:10" ht="135" x14ac:dyDescent="0.25">
      <c r="A2678" s="1" t="str">
        <f>"2713-2020/27"</f>
        <v>2713-2020/27</v>
      </c>
      <c r="B2678" s="1" t="str">
        <f t="shared" si="466"/>
        <v>02.06.2020</v>
      </c>
      <c r="C2678" s="1" t="str">
        <f>"Закрито"</f>
        <v>Закрито</v>
      </c>
      <c r="D267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678" s="1" t="str">
        <f>"Земельні питання"</f>
        <v>Земельні питання</v>
      </c>
      <c r="F26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78" s="1" t="str">
        <f>"14"</f>
        <v>14</v>
      </c>
      <c r="H2678" s="1" t="str">
        <f>"Результат"</f>
        <v>Результат</v>
      </c>
      <c r="I2678" s="1" t="str">
        <f>"Позитивний"</f>
        <v>Позитивний</v>
      </c>
      <c r="J2678" s="1" t="str">
        <f>"Ні"</f>
        <v>Ні</v>
      </c>
    </row>
    <row r="2679" spans="1:10" ht="135" x14ac:dyDescent="0.25">
      <c r="A2679" s="1" t="str">
        <f>"2707-2020/27"</f>
        <v>2707-2020/27</v>
      </c>
      <c r="B2679" s="1" t="str">
        <f t="shared" si="466"/>
        <v>02.06.2020</v>
      </c>
      <c r="C2679" s="1" t="str">
        <f>"Закрито"</f>
        <v>Закрито</v>
      </c>
      <c r="D267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79" s="1" t="str">
        <f>"Земельні питання"</f>
        <v>Земельні питання</v>
      </c>
      <c r="F26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79" s="1" t="str">
        <f>"3"</f>
        <v>3</v>
      </c>
      <c r="H2679" s="1" t="str">
        <f>"Результат"</f>
        <v>Результат</v>
      </c>
      <c r="I2679" s="1" t="str">
        <f>"Позитивний"</f>
        <v>Позитивний</v>
      </c>
      <c r="J2679" s="1" t="str">
        <f>"Ні"</f>
        <v>Ні</v>
      </c>
    </row>
    <row r="2680" spans="1:10" ht="225" x14ac:dyDescent="0.25">
      <c r="A2680" s="1" t="str">
        <f>"2726-2020/27"</f>
        <v>2726-2020/27</v>
      </c>
      <c r="B2680" s="1" t="str">
        <f t="shared" si="466"/>
        <v>02.06.2020</v>
      </c>
      <c r="C2680" s="1" t="str">
        <f t="shared" ref="C2680:C2711" si="467">"Закрито"</f>
        <v>Закрито</v>
      </c>
      <c r="D2680" s="1" t="s">
        <v>1</v>
      </c>
      <c r="E2680" s="1" t="str">
        <f>"Будівництво"</f>
        <v>Будівництво</v>
      </c>
      <c r="F268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680" s="1" t="str">
        <f>"30"</f>
        <v>30</v>
      </c>
      <c r="H2680" s="1" t="str">
        <f>"Результат"</f>
        <v>Результат</v>
      </c>
      <c r="I2680" s="1" t="str">
        <f>"Позитивний"</f>
        <v>Позитивний</v>
      </c>
      <c r="J2680" s="1" t="str">
        <f>"Ні"</f>
        <v>Ні</v>
      </c>
    </row>
    <row r="2681" spans="1:10" ht="135" x14ac:dyDescent="0.25">
      <c r="A2681" s="1" t="str">
        <f>"2743-2020/27"</f>
        <v>2743-2020/27</v>
      </c>
      <c r="B2681" s="1" t="str">
        <f t="shared" si="466"/>
        <v>02.06.2020</v>
      </c>
      <c r="C2681" s="1" t="str">
        <f t="shared" si="467"/>
        <v>Закрито</v>
      </c>
      <c r="D268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81" s="1" t="str">
        <f>"Земельні питання"</f>
        <v>Земельні питання</v>
      </c>
      <c r="F26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81" s="1" t="str">
        <f>"14"</f>
        <v>14</v>
      </c>
      <c r="H2681" s="1" t="str">
        <f>"Результат"</f>
        <v>Результат</v>
      </c>
      <c r="I2681" s="1" t="str">
        <f>"Позитивний"</f>
        <v>Позитивний</v>
      </c>
      <c r="J2681" s="1" t="str">
        <f>"Ні"</f>
        <v>Ні</v>
      </c>
    </row>
    <row r="2682" spans="1:10" ht="45" x14ac:dyDescent="0.25">
      <c r="A2682" s="1" t="str">
        <f>"2724-2020/27"</f>
        <v>2724-2020/27</v>
      </c>
      <c r="B2682" s="1" t="str">
        <f t="shared" si="466"/>
        <v>02.06.2020</v>
      </c>
      <c r="C2682" s="1" t="str">
        <f t="shared" si="467"/>
        <v>Закрито</v>
      </c>
      <c r="D2682" s="1" t="str">
        <f>"Реєстрація місця проживання особи"</f>
        <v>Реєстрація місця проживання особи</v>
      </c>
      <c r="E2682" s="1" t="str">
        <f>"Реєстрація місця проживання"</f>
        <v>Реєстрація місця проживання</v>
      </c>
      <c r="F2682" s="1" t="str">
        <f>"Відділ реєстрації Новокаховської міської ради"</f>
        <v>Відділ реєстрації Новокаховської міської ради</v>
      </c>
      <c r="G2682" s="1" t="str">
        <f>"1"</f>
        <v>1</v>
      </c>
      <c r="H2682" s="1" t="str">
        <f>"Результат"</f>
        <v>Результат</v>
      </c>
      <c r="I2682" s="1" t="str">
        <f>"Позитивний"</f>
        <v>Позитивний</v>
      </c>
      <c r="J2682" s="1" t="str">
        <f>"Так"</f>
        <v>Так</v>
      </c>
    </row>
    <row r="2683" spans="1:10" ht="135" x14ac:dyDescent="0.25">
      <c r="A2683" s="1" t="str">
        <f>"2734-2020/27"</f>
        <v>2734-2020/27</v>
      </c>
      <c r="B2683" s="1" t="str">
        <f t="shared" si="466"/>
        <v>02.06.2020</v>
      </c>
      <c r="C2683" s="1" t="str">
        <f t="shared" si="467"/>
        <v>Закрито</v>
      </c>
      <c r="D26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83" s="1" t="str">
        <f t="shared" ref="E2683:E2688" si="468">"Земельні питання"</f>
        <v>Земельні питання</v>
      </c>
      <c r="F26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83" s="1" t="str">
        <f>"1"</f>
        <v>1</v>
      </c>
      <c r="H2683" s="1" t="str">
        <f>"Результат"</f>
        <v>Результат</v>
      </c>
      <c r="I2683" s="1" t="str">
        <f>"Позитивний"</f>
        <v>Позитивний</v>
      </c>
      <c r="J2683" s="1" t="str">
        <f>"Так"</f>
        <v>Так</v>
      </c>
    </row>
    <row r="2684" spans="1:10" ht="105" x14ac:dyDescent="0.25">
      <c r="A2684" s="1" t="str">
        <f>"2742-2020/27"</f>
        <v>2742-2020/27</v>
      </c>
      <c r="B2684" s="1" t="str">
        <f t="shared" si="466"/>
        <v>02.06.2020</v>
      </c>
      <c r="C2684" s="1" t="str">
        <f t="shared" si="467"/>
        <v>Закрито</v>
      </c>
      <c r="D268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84" s="1" t="str">
        <f t="shared" si="468"/>
        <v>Земельні питання</v>
      </c>
      <c r="F268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684" s="1" t="str">
        <f>"1"</f>
        <v>1</v>
      </c>
      <c r="H2684" s="1" t="str">
        <f>"Результат"</f>
        <v>Результат</v>
      </c>
      <c r="I2684" s="1" t="str">
        <f>"Позитивний"</f>
        <v>Позитивний</v>
      </c>
      <c r="J2684" s="1" t="str">
        <f>"Так"</f>
        <v>Так</v>
      </c>
    </row>
    <row r="2685" spans="1:10" ht="135" x14ac:dyDescent="0.25">
      <c r="A2685" s="1" t="str">
        <f>"2708-2020/27"</f>
        <v>2708-2020/27</v>
      </c>
      <c r="B2685" s="1" t="str">
        <f t="shared" si="466"/>
        <v>02.06.2020</v>
      </c>
      <c r="C2685" s="1" t="str">
        <f t="shared" si="467"/>
        <v>Закрито</v>
      </c>
      <c r="D268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685" s="1" t="str">
        <f t="shared" si="468"/>
        <v>Земельні питання</v>
      </c>
      <c r="F26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85" s="1" t="str">
        <f>"14"</f>
        <v>14</v>
      </c>
      <c r="H2685" s="1" t="str">
        <f>"Результат"</f>
        <v>Результат</v>
      </c>
      <c r="I2685" s="1" t="str">
        <f>"Позитивний"</f>
        <v>Позитивний</v>
      </c>
      <c r="J2685" s="1" t="str">
        <f>"Ні"</f>
        <v>Ні</v>
      </c>
    </row>
    <row r="2686" spans="1:10" ht="135" x14ac:dyDescent="0.25">
      <c r="A2686" s="1" t="str">
        <f>"2712-2020/27"</f>
        <v>2712-2020/27</v>
      </c>
      <c r="B2686" s="1" t="str">
        <f t="shared" si="466"/>
        <v>02.06.2020</v>
      </c>
      <c r="C2686" s="1" t="str">
        <f t="shared" si="467"/>
        <v>Закрито</v>
      </c>
      <c r="D268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86" s="1" t="str">
        <f t="shared" si="468"/>
        <v>Земельні питання</v>
      </c>
      <c r="F268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86" s="1" t="str">
        <f>"1"</f>
        <v>1</v>
      </c>
      <c r="H2686" s="1" t="str">
        <f>"Результат"</f>
        <v>Результат</v>
      </c>
      <c r="I2686" s="1" t="str">
        <f>"Позитивний"</f>
        <v>Позитивний</v>
      </c>
      <c r="J2686" s="1" t="str">
        <f>"Так"</f>
        <v>Так</v>
      </c>
    </row>
    <row r="2687" spans="1:10" ht="135" x14ac:dyDescent="0.25">
      <c r="A2687" s="1" t="str">
        <f>"2715-2020/27"</f>
        <v>2715-2020/27</v>
      </c>
      <c r="B2687" s="1" t="str">
        <f t="shared" si="466"/>
        <v>02.06.2020</v>
      </c>
      <c r="C2687" s="1" t="str">
        <f t="shared" si="467"/>
        <v>Закрито</v>
      </c>
      <c r="D26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87" s="1" t="str">
        <f t="shared" si="468"/>
        <v>Земельні питання</v>
      </c>
      <c r="F26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87" s="1" t="str">
        <f>"1"</f>
        <v>1</v>
      </c>
      <c r="H2687" s="1" t="str">
        <f>"Результат"</f>
        <v>Результат</v>
      </c>
      <c r="I2687" s="1" t="str">
        <f>"Позитивний"</f>
        <v>Позитивний</v>
      </c>
      <c r="J2687" s="1" t="str">
        <f>"Так"</f>
        <v>Так</v>
      </c>
    </row>
    <row r="2688" spans="1:10" ht="135" x14ac:dyDescent="0.25">
      <c r="A2688" s="1" t="str">
        <f>"2739-2020/27"</f>
        <v>2739-2020/27</v>
      </c>
      <c r="B2688" s="1" t="str">
        <f t="shared" si="466"/>
        <v>02.06.2020</v>
      </c>
      <c r="C2688" s="1" t="str">
        <f t="shared" si="467"/>
        <v>Закрито</v>
      </c>
      <c r="D26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88" s="1" t="str">
        <f t="shared" si="468"/>
        <v>Земельні питання</v>
      </c>
      <c r="F26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88" s="1" t="str">
        <f>"3"</f>
        <v>3</v>
      </c>
      <c r="H2688" s="1" t="str">
        <f>"Результат"</f>
        <v>Результат</v>
      </c>
      <c r="I2688" s="1" t="str">
        <f>"Позитивний"</f>
        <v>Позитивний</v>
      </c>
      <c r="J2688" s="1" t="str">
        <f>"Ні"</f>
        <v>Ні</v>
      </c>
    </row>
    <row r="2689" spans="1:10" ht="45" x14ac:dyDescent="0.25">
      <c r="A2689" s="1" t="str">
        <f>"2706-2020/27"</f>
        <v>2706-2020/27</v>
      </c>
      <c r="B2689" s="1" t="str">
        <f t="shared" si="466"/>
        <v>02.06.2020</v>
      </c>
      <c r="C2689" s="1" t="str">
        <f t="shared" si="467"/>
        <v>Закрито</v>
      </c>
      <c r="D2689" s="1" t="str">
        <f>"Зняття з реєстрації місця проживання"</f>
        <v>Зняття з реєстрації місця проживання</v>
      </c>
      <c r="E2689" s="1" t="str">
        <f>"Реєстрація місця проживання"</f>
        <v>Реєстрація місця проживання</v>
      </c>
      <c r="F2689" s="1" t="str">
        <f>"Відділ реєстрації Новокаховської міської ради"</f>
        <v>Відділ реєстрації Новокаховської міської ради</v>
      </c>
      <c r="G2689" s="1" t="str">
        <f>"1"</f>
        <v>1</v>
      </c>
      <c r="H2689" s="1" t="str">
        <f>"Результат"</f>
        <v>Результат</v>
      </c>
      <c r="I2689" s="1" t="str">
        <f>"Позитивний"</f>
        <v>Позитивний</v>
      </c>
      <c r="J2689" s="1" t="str">
        <f>"Так"</f>
        <v>Так</v>
      </c>
    </row>
    <row r="2690" spans="1:10" ht="135" x14ac:dyDescent="0.25">
      <c r="A2690" s="1" t="str">
        <f>"2718-2020/27"</f>
        <v>2718-2020/27</v>
      </c>
      <c r="B2690" s="1" t="str">
        <f t="shared" si="466"/>
        <v>02.06.2020</v>
      </c>
      <c r="C2690" s="1" t="str">
        <f t="shared" si="467"/>
        <v>Закрито</v>
      </c>
      <c r="D26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690" s="1" t="str">
        <f>"Земельні питання"</f>
        <v>Земельні питання</v>
      </c>
      <c r="F26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90" s="1" t="str">
        <f>"1"</f>
        <v>1</v>
      </c>
      <c r="H2690" s="1" t="str">
        <f>"Результат"</f>
        <v>Результат</v>
      </c>
      <c r="I2690" s="1" t="str">
        <f>"Позитивний"</f>
        <v>Позитивний</v>
      </c>
      <c r="J2690" s="1" t="str">
        <f>"Так"</f>
        <v>Так</v>
      </c>
    </row>
    <row r="2691" spans="1:10" ht="90" x14ac:dyDescent="0.25">
      <c r="A2691" s="1" t="str">
        <f>"2711-2020/27"</f>
        <v>2711-2020/27</v>
      </c>
      <c r="B2691" s="1" t="str">
        <f t="shared" si="466"/>
        <v>02.06.2020</v>
      </c>
      <c r="C2691" s="1" t="str">
        <f t="shared" si="467"/>
        <v>Закрито</v>
      </c>
      <c r="D269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91" s="1" t="str">
        <f>"Інші послуги"</f>
        <v>Інші послуги</v>
      </c>
      <c r="F269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91" s="1" t="str">
        <f>"5"</f>
        <v>5</v>
      </c>
      <c r="H2691" s="1" t="str">
        <f>"Результат"</f>
        <v>Результат</v>
      </c>
      <c r="I2691" s="1" t="str">
        <f>"Позитивний"</f>
        <v>Позитивний</v>
      </c>
      <c r="J2691" s="1" t="str">
        <f>"Ні"</f>
        <v>Ні</v>
      </c>
    </row>
    <row r="2692" spans="1:10" ht="90" x14ac:dyDescent="0.25">
      <c r="A2692" s="1" t="str">
        <f>"654-т"</f>
        <v>654-т</v>
      </c>
      <c r="B2692" s="1" t="str">
        <f t="shared" si="466"/>
        <v>02.06.2020</v>
      </c>
      <c r="C2692" s="1" t="str">
        <f t="shared" si="467"/>
        <v>Закрито</v>
      </c>
      <c r="D269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92" s="1" t="str">
        <f>"Інші послуги"</f>
        <v>Інші послуги</v>
      </c>
      <c r="F269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92" s="1" t="str">
        <f>"5"</f>
        <v>5</v>
      </c>
      <c r="H2692" s="1" t="str">
        <f>"Результат"</f>
        <v>Результат</v>
      </c>
      <c r="I2692" s="1" t="str">
        <f>"Позитивний"</f>
        <v>Позитивний</v>
      </c>
      <c r="J2692" s="1" t="str">
        <f>"Ні"</f>
        <v>Ні</v>
      </c>
    </row>
    <row r="2693" spans="1:10" ht="135" x14ac:dyDescent="0.25">
      <c r="A2693" s="1" t="str">
        <f>"2735-2020/27"</f>
        <v>2735-2020/27</v>
      </c>
      <c r="B2693" s="1" t="str">
        <f t="shared" si="466"/>
        <v>02.06.2020</v>
      </c>
      <c r="C2693" s="1" t="str">
        <f t="shared" si="467"/>
        <v>Закрито</v>
      </c>
      <c r="D26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93" s="1" t="str">
        <f>"Земельні питання"</f>
        <v>Земельні питання</v>
      </c>
      <c r="F26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93" s="1" t="str">
        <f>"3"</f>
        <v>3</v>
      </c>
      <c r="H2693" s="1" t="str">
        <f>"Результат"</f>
        <v>Результат</v>
      </c>
      <c r="I2693" s="1" t="str">
        <f>"Позитивний"</f>
        <v>Позитивний</v>
      </c>
      <c r="J2693" s="1" t="str">
        <f>"Ні"</f>
        <v>Ні</v>
      </c>
    </row>
    <row r="2694" spans="1:10" ht="45" x14ac:dyDescent="0.25">
      <c r="A2694" s="1" t="str">
        <f>"2729-2020/27"</f>
        <v>2729-2020/27</v>
      </c>
      <c r="B2694" s="1" t="str">
        <f t="shared" si="466"/>
        <v>02.06.2020</v>
      </c>
      <c r="C2694" s="1" t="str">
        <f t="shared" si="467"/>
        <v>Закрито</v>
      </c>
      <c r="D2694" s="1" t="str">
        <f>"Зняття з реєстрації місця проживання"</f>
        <v>Зняття з реєстрації місця проживання</v>
      </c>
      <c r="E2694" s="1" t="str">
        <f>"Реєстрація місця проживання"</f>
        <v>Реєстрація місця проживання</v>
      </c>
      <c r="F2694" s="1" t="str">
        <f>"Відділ реєстрації Новокаховської міської ради"</f>
        <v>Відділ реєстрації Новокаховської міської ради</v>
      </c>
      <c r="G2694" s="1" t="str">
        <f>"1"</f>
        <v>1</v>
      </c>
      <c r="H2694" s="1" t="str">
        <f>"Результат"</f>
        <v>Результат</v>
      </c>
      <c r="I2694" s="1" t="str">
        <f>"Позитивний"</f>
        <v>Позитивний</v>
      </c>
      <c r="J2694" s="1" t="str">
        <f>"Так"</f>
        <v>Так</v>
      </c>
    </row>
    <row r="2695" spans="1:10" ht="45" x14ac:dyDescent="0.25">
      <c r="A2695" s="1" t="str">
        <f>"2710-2020/27"</f>
        <v>2710-2020/27</v>
      </c>
      <c r="B2695" s="1" t="str">
        <f t="shared" si="466"/>
        <v>02.06.2020</v>
      </c>
      <c r="C2695" s="1" t="str">
        <f t="shared" si="467"/>
        <v>Закрито</v>
      </c>
      <c r="D2695" s="1" t="str">
        <f>"Реєстрація місця проживання особи"</f>
        <v>Реєстрація місця проживання особи</v>
      </c>
      <c r="E2695" s="1" t="str">
        <f>"Реєстрація місця проживання"</f>
        <v>Реєстрація місця проживання</v>
      </c>
      <c r="F2695" s="1" t="str">
        <f>"Відділ реєстрації Новокаховської міської ради"</f>
        <v>Відділ реєстрації Новокаховської міської ради</v>
      </c>
      <c r="G2695" s="1" t="str">
        <f>"1"</f>
        <v>1</v>
      </c>
      <c r="H2695" s="1" t="str">
        <f>"Результат"</f>
        <v>Результат</v>
      </c>
      <c r="I2695" s="1" t="str">
        <f>"Позитивний"</f>
        <v>Позитивний</v>
      </c>
      <c r="J2695" s="1" t="str">
        <f>"Так"</f>
        <v>Так</v>
      </c>
    </row>
    <row r="2696" spans="1:10" ht="225" x14ac:dyDescent="0.25">
      <c r="A2696" s="1" t="str">
        <f>"2728-2020/27"</f>
        <v>2728-2020/27</v>
      </c>
      <c r="B2696" s="1" t="str">
        <f t="shared" si="466"/>
        <v>02.06.2020</v>
      </c>
      <c r="C2696" s="1" t="str">
        <f t="shared" si="467"/>
        <v>Закрито</v>
      </c>
      <c r="D2696" s="1" t="s">
        <v>1</v>
      </c>
      <c r="E2696" s="1" t="str">
        <f>"Будівництво"</f>
        <v>Будівництво</v>
      </c>
      <c r="F269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696" s="1" t="str">
        <f>"30"</f>
        <v>30</v>
      </c>
      <c r="H2696" s="1" t="str">
        <f>"Результат"</f>
        <v>Результат</v>
      </c>
      <c r="I2696" s="1" t="str">
        <f>"Позитивний"</f>
        <v>Позитивний</v>
      </c>
      <c r="J2696" s="1" t="str">
        <f>"Ні"</f>
        <v>Ні</v>
      </c>
    </row>
    <row r="2697" spans="1:10" ht="90" x14ac:dyDescent="0.25">
      <c r="A2697" s="1" t="str">
        <f>"987-т"</f>
        <v>987-т</v>
      </c>
      <c r="B2697" s="1" t="str">
        <f t="shared" si="466"/>
        <v>02.06.2020</v>
      </c>
      <c r="C2697" s="1" t="str">
        <f t="shared" si="467"/>
        <v>Закрито</v>
      </c>
      <c r="D269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697" s="1" t="str">
        <f>"Інші послуги"</f>
        <v>Інші послуги</v>
      </c>
      <c r="F269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697" s="1" t="str">
        <f>"5"</f>
        <v>5</v>
      </c>
      <c r="H2697" s="1" t="str">
        <f>"Результат"</f>
        <v>Результат</v>
      </c>
      <c r="I2697" s="1" t="str">
        <f>"Позитивний"</f>
        <v>Позитивний</v>
      </c>
      <c r="J2697" s="1" t="str">
        <f>"Ні"</f>
        <v>Ні</v>
      </c>
    </row>
    <row r="2698" spans="1:10" ht="135" x14ac:dyDescent="0.25">
      <c r="A2698" s="1" t="str">
        <f>"2738-2020/27"</f>
        <v>2738-2020/27</v>
      </c>
      <c r="B2698" s="1" t="str">
        <f t="shared" si="466"/>
        <v>02.06.2020</v>
      </c>
      <c r="C2698" s="1" t="str">
        <f t="shared" si="467"/>
        <v>Закрито</v>
      </c>
      <c r="D26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698" s="1" t="str">
        <f>"Земельні питання"</f>
        <v>Земельні питання</v>
      </c>
      <c r="F26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698" s="1" t="str">
        <f>"3"</f>
        <v>3</v>
      </c>
      <c r="H2698" s="1" t="str">
        <f>"Результат"</f>
        <v>Результат</v>
      </c>
      <c r="I2698" s="1" t="str">
        <f>"Позитивний"</f>
        <v>Позитивний</v>
      </c>
      <c r="J2698" s="1" t="str">
        <f>"Ні"</f>
        <v>Ні</v>
      </c>
    </row>
    <row r="2699" spans="1:10" ht="45" x14ac:dyDescent="0.25">
      <c r="A2699" s="1" t="str">
        <f>"2725-2020/27"</f>
        <v>2725-2020/27</v>
      </c>
      <c r="B2699" s="1" t="str">
        <f t="shared" si="466"/>
        <v>02.06.2020</v>
      </c>
      <c r="C2699" s="1" t="str">
        <f t="shared" si="467"/>
        <v>Закрито</v>
      </c>
      <c r="D2699" s="1" t="str">
        <f>"Реєстрація місця проживання особи"</f>
        <v>Реєстрація місця проживання особи</v>
      </c>
      <c r="E2699" s="1" t="str">
        <f>"Реєстрація місця проживання"</f>
        <v>Реєстрація місця проживання</v>
      </c>
      <c r="F2699" s="1" t="str">
        <f>"Відділ реєстрації Новокаховської міської ради"</f>
        <v>Відділ реєстрації Новокаховської міської ради</v>
      </c>
      <c r="G2699" s="1" t="str">
        <f>"1"</f>
        <v>1</v>
      </c>
      <c r="H2699" s="1" t="str">
        <f>"Результат"</f>
        <v>Результат</v>
      </c>
      <c r="I2699" s="1" t="str">
        <f>"Позитивний"</f>
        <v>Позитивний</v>
      </c>
      <c r="J2699" s="1" t="str">
        <f>"Так"</f>
        <v>Так</v>
      </c>
    </row>
    <row r="2700" spans="1:10" ht="135" x14ac:dyDescent="0.25">
      <c r="A2700" s="1" t="str">
        <f>"2714-2020/27"</f>
        <v>2714-2020/27</v>
      </c>
      <c r="B2700" s="1" t="str">
        <f t="shared" si="466"/>
        <v>02.06.2020</v>
      </c>
      <c r="C2700" s="1" t="str">
        <f t="shared" si="467"/>
        <v>Закрито</v>
      </c>
      <c r="D270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00" s="1" t="str">
        <f>"Земельні питання"</f>
        <v>Земельні питання</v>
      </c>
      <c r="F27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00" s="1" t="str">
        <f>"14"</f>
        <v>14</v>
      </c>
      <c r="H2700" s="1" t="str">
        <f>"Результат"</f>
        <v>Результат</v>
      </c>
      <c r="I2700" s="1" t="str">
        <f>"Позитивний"</f>
        <v>Позитивний</v>
      </c>
      <c r="J2700" s="1" t="str">
        <f>"Ні"</f>
        <v>Ні</v>
      </c>
    </row>
    <row r="2701" spans="1:10" ht="225" x14ac:dyDescent="0.25">
      <c r="A2701" s="1" t="str">
        <f>"test0206"</f>
        <v>test0206</v>
      </c>
      <c r="B2701" s="1" t="str">
        <f t="shared" si="466"/>
        <v>02.06.2020</v>
      </c>
      <c r="C2701" s="1" t="str">
        <f t="shared" si="467"/>
        <v>Закрито</v>
      </c>
      <c r="D2701" s="1" t="str">
        <f>"Видача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ринків"</f>
        <v>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</v>
      </c>
      <c r="E2701" s="1" t="str">
        <f>"Дозволи Держпродспоживслужби"</f>
        <v>Дозволи Держпродспоживслужби</v>
      </c>
      <c r="F2701" s="1" t="str">
        <f>"Управління Держпродспоживслужби в м. Новій Каховці"</f>
        <v>Управління Держпродспоживслужби в м. Новій Каховці</v>
      </c>
      <c r="G2701" s="1" t="str">
        <f>"30"</f>
        <v>30</v>
      </c>
      <c r="H2701" s="1" t="str">
        <f>"Результат"</f>
        <v>Результат</v>
      </c>
      <c r="I2701" s="1" t="str">
        <f>"Позитивний"</f>
        <v>Позитивний</v>
      </c>
      <c r="J2701" s="1" t="str">
        <f>"Ні"</f>
        <v>Ні</v>
      </c>
    </row>
    <row r="2702" spans="1:10" ht="90" x14ac:dyDescent="0.25">
      <c r="A2702" s="1" t="str">
        <f>"2709-2020/27"</f>
        <v>2709-2020/27</v>
      </c>
      <c r="B2702" s="1" t="str">
        <f t="shared" si="466"/>
        <v>02.06.2020</v>
      </c>
      <c r="C2702" s="1" t="str">
        <f t="shared" si="467"/>
        <v>Закрито</v>
      </c>
      <c r="D270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02" s="1" t="str">
        <f>"Інші послуги"</f>
        <v>Інші послуги</v>
      </c>
      <c r="F270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02" s="1" t="str">
        <f>"5"</f>
        <v>5</v>
      </c>
      <c r="H2702" s="1" t="str">
        <f>"Результат"</f>
        <v>Результат</v>
      </c>
      <c r="I2702" s="1" t="str">
        <f>"Позитивний"</f>
        <v>Позитивний</v>
      </c>
      <c r="J2702" s="1" t="str">
        <f>"Ні"</f>
        <v>Ні</v>
      </c>
    </row>
    <row r="2703" spans="1:10" ht="45" x14ac:dyDescent="0.25">
      <c r="A2703" s="1" t="str">
        <f>"2702-2020/27"</f>
        <v>2702-2020/27</v>
      </c>
      <c r="B2703" s="1" t="str">
        <f t="shared" si="466"/>
        <v>02.06.2020</v>
      </c>
      <c r="C2703" s="1" t="str">
        <f t="shared" si="467"/>
        <v>Закрито</v>
      </c>
      <c r="D2703" s="1" t="str">
        <f>"Реєстрація місця проживання особи"</f>
        <v>Реєстрація місця проживання особи</v>
      </c>
      <c r="E2703" s="1" t="str">
        <f>"Реєстрація місця проживання"</f>
        <v>Реєстрація місця проживання</v>
      </c>
      <c r="F2703" s="1" t="str">
        <f>"Відділ реєстрації Новокаховської міської ради"</f>
        <v>Відділ реєстрації Новокаховської міської ради</v>
      </c>
      <c r="G2703" s="1" t="str">
        <f>"1"</f>
        <v>1</v>
      </c>
      <c r="H2703" s="1" t="str">
        <f>"Результат"</f>
        <v>Результат</v>
      </c>
      <c r="I2703" s="1" t="str">
        <f>"Позитивний"</f>
        <v>Позитивний</v>
      </c>
      <c r="J2703" s="1" t="str">
        <f>"Так"</f>
        <v>Так</v>
      </c>
    </row>
    <row r="2704" spans="1:10" ht="135" x14ac:dyDescent="0.25">
      <c r="A2704" s="1" t="str">
        <f>"2716-2020/27"</f>
        <v>2716-2020/27</v>
      </c>
      <c r="B2704" s="1" t="str">
        <f t="shared" si="466"/>
        <v>02.06.2020</v>
      </c>
      <c r="C2704" s="1" t="str">
        <f t="shared" si="467"/>
        <v>Закрито</v>
      </c>
      <c r="D270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04" s="1" t="str">
        <f>"Земельні питання"</f>
        <v>Земельні питання</v>
      </c>
      <c r="F27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04" s="1" t="str">
        <f>"1"</f>
        <v>1</v>
      </c>
      <c r="H2704" s="1" t="str">
        <f>"Результат"</f>
        <v>Результат</v>
      </c>
      <c r="I2704" s="1" t="str">
        <f>"Позитивний"</f>
        <v>Позитивний</v>
      </c>
      <c r="J2704" s="1" t="str">
        <f>"Так"</f>
        <v>Так</v>
      </c>
    </row>
    <row r="2705" spans="1:10" ht="135" x14ac:dyDescent="0.25">
      <c r="A2705" s="1" t="str">
        <f>"2745-2020/27"</f>
        <v>2745-2020/27</v>
      </c>
      <c r="B2705" s="1" t="str">
        <f t="shared" si="466"/>
        <v>02.06.2020</v>
      </c>
      <c r="C2705" s="1" t="str">
        <f t="shared" si="467"/>
        <v>Закрито</v>
      </c>
      <c r="D270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05" s="1" t="str">
        <f>"Земельні питання"</f>
        <v>Земельні питання</v>
      </c>
      <c r="F27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05" s="1" t="str">
        <f>"1"</f>
        <v>1</v>
      </c>
      <c r="H2705" s="1" t="str">
        <f>"Результат"</f>
        <v>Результат</v>
      </c>
      <c r="I2705" s="1" t="str">
        <f>"Позитивний"</f>
        <v>Позитивний</v>
      </c>
      <c r="J2705" s="1" t="str">
        <f>"Так"</f>
        <v>Так</v>
      </c>
    </row>
    <row r="2706" spans="1:10" ht="45" x14ac:dyDescent="0.25">
      <c r="A2706" s="1" t="str">
        <f>"2705-2020/27"</f>
        <v>2705-2020/27</v>
      </c>
      <c r="B2706" s="1" t="str">
        <f t="shared" si="466"/>
        <v>02.06.2020</v>
      </c>
      <c r="C2706" s="1" t="str">
        <f t="shared" si="467"/>
        <v>Закрито</v>
      </c>
      <c r="D2706" s="1" t="str">
        <f>"Зняття з реєстрації місця проживання"</f>
        <v>Зняття з реєстрації місця проживання</v>
      </c>
      <c r="E2706" s="1" t="str">
        <f>"Реєстрація місця проживання"</f>
        <v>Реєстрація місця проживання</v>
      </c>
      <c r="F2706" s="1" t="str">
        <f>"Відділ реєстрації Новокаховської міської ради"</f>
        <v>Відділ реєстрації Новокаховської міської ради</v>
      </c>
      <c r="G2706" s="1" t="str">
        <f>"1"</f>
        <v>1</v>
      </c>
      <c r="H2706" s="1" t="str">
        <f>"Результат"</f>
        <v>Результат</v>
      </c>
      <c r="I2706" s="1" t="str">
        <f>"Позитивний"</f>
        <v>Позитивний</v>
      </c>
      <c r="J2706" s="1" t="str">
        <f>"Так"</f>
        <v>Так</v>
      </c>
    </row>
    <row r="2707" spans="1:10" ht="105" x14ac:dyDescent="0.25">
      <c r="A2707" s="1" t="str">
        <f>"2732-2020/27"</f>
        <v>2732-2020/27</v>
      </c>
      <c r="B2707" s="1" t="str">
        <f t="shared" si="466"/>
        <v>02.06.2020</v>
      </c>
      <c r="C2707" s="1" t="str">
        <f t="shared" si="467"/>
        <v>Закрито</v>
      </c>
      <c r="D270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07" s="1" t="str">
        <f>"Земельні питання"</f>
        <v>Земельні питання</v>
      </c>
      <c r="F270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07" s="1" t="str">
        <f>"1"</f>
        <v>1</v>
      </c>
      <c r="H2707" s="1" t="str">
        <f>"Результат"</f>
        <v>Результат</v>
      </c>
      <c r="I2707" s="1" t="str">
        <f>"Позитивний"</f>
        <v>Позитивний</v>
      </c>
      <c r="J2707" s="1" t="str">
        <f>"Так"</f>
        <v>Так</v>
      </c>
    </row>
    <row r="2708" spans="1:10" ht="90" x14ac:dyDescent="0.25">
      <c r="A2708" s="1" t="str">
        <f>"2722-2020/27"</f>
        <v>2722-2020/27</v>
      </c>
      <c r="B2708" s="1" t="str">
        <f t="shared" si="466"/>
        <v>02.06.2020</v>
      </c>
      <c r="C2708" s="1" t="str">
        <f t="shared" si="467"/>
        <v>Закрито</v>
      </c>
      <c r="D270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08" s="1" t="str">
        <f>"Інші послуги"</f>
        <v>Інші послуги</v>
      </c>
      <c r="F270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08" s="1" t="str">
        <f>"5"</f>
        <v>5</v>
      </c>
      <c r="H2708" s="1" t="str">
        <f>"Результат"</f>
        <v>Результат</v>
      </c>
      <c r="I2708" s="1" t="str">
        <f>"Позитивний"</f>
        <v>Позитивний</v>
      </c>
      <c r="J2708" s="1" t="str">
        <f>"Ні"</f>
        <v>Ні</v>
      </c>
    </row>
    <row r="2709" spans="1:10" ht="135" x14ac:dyDescent="0.25">
      <c r="A2709" s="1" t="str">
        <f>"2744-2020/27"</f>
        <v>2744-2020/27</v>
      </c>
      <c r="B2709" s="1" t="str">
        <f t="shared" si="466"/>
        <v>02.06.2020</v>
      </c>
      <c r="C2709" s="1" t="str">
        <f t="shared" si="467"/>
        <v>Закрито</v>
      </c>
      <c r="D270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09" s="1" t="str">
        <f>"Земельні питання"</f>
        <v>Земельні питання</v>
      </c>
      <c r="F27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09" s="1" t="str">
        <f>"14"</f>
        <v>14</v>
      </c>
      <c r="H2709" s="1" t="str">
        <f>"Результат"</f>
        <v>Результат</v>
      </c>
      <c r="I2709" s="1" t="str">
        <f>"Позитивний"</f>
        <v>Позитивний</v>
      </c>
      <c r="J2709" s="1" t="str">
        <f>"Ні"</f>
        <v>Ні</v>
      </c>
    </row>
    <row r="2710" spans="1:10" ht="90" x14ac:dyDescent="0.25">
      <c r="A2710" s="1" t="str">
        <f>"321-т"</f>
        <v>321-т</v>
      </c>
      <c r="B2710" s="1" t="str">
        <f t="shared" si="466"/>
        <v>02.06.2020</v>
      </c>
      <c r="C2710" s="1" t="str">
        <f t="shared" si="467"/>
        <v>Закрито</v>
      </c>
      <c r="D271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10" s="1" t="str">
        <f>"Інші послуги"</f>
        <v>Інші послуги</v>
      </c>
      <c r="F271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10" s="1" t="str">
        <f>"5"</f>
        <v>5</v>
      </c>
      <c r="H2710" s="1" t="str">
        <f>"Результат"</f>
        <v>Результат</v>
      </c>
      <c r="I2710" s="1" t="str">
        <f>"Позитивний"</f>
        <v>Позитивний</v>
      </c>
      <c r="J2710" s="1" t="str">
        <f>"Ні"</f>
        <v>Ні</v>
      </c>
    </row>
    <row r="2711" spans="1:10" ht="105" x14ac:dyDescent="0.25">
      <c r="A2711" s="1" t="str">
        <f>"2719-2020/27"</f>
        <v>2719-2020/27</v>
      </c>
      <c r="B2711" s="1" t="str">
        <f t="shared" si="466"/>
        <v>02.06.2020</v>
      </c>
      <c r="C2711" s="1" t="str">
        <f t="shared" si="467"/>
        <v>Закрито</v>
      </c>
      <c r="D271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11" s="1" t="str">
        <f>"Земельні питання"</f>
        <v>Земельні питання</v>
      </c>
      <c r="F271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11" s="1" t="str">
        <f>"1"</f>
        <v>1</v>
      </c>
      <c r="H2711" s="1" t="str">
        <f>"Результат"</f>
        <v>Результат</v>
      </c>
      <c r="I2711" s="1" t="str">
        <f>"Позитивний"</f>
        <v>Позитивний</v>
      </c>
      <c r="J2711" s="1" t="str">
        <f>"Так"</f>
        <v>Так</v>
      </c>
    </row>
    <row r="2712" spans="1:10" ht="225" x14ac:dyDescent="0.25">
      <c r="A2712" s="1" t="str">
        <f>"2741-2020/27"</f>
        <v>2741-2020/27</v>
      </c>
      <c r="B2712" s="1" t="str">
        <f t="shared" si="466"/>
        <v>02.06.2020</v>
      </c>
      <c r="C2712" s="1" t="str">
        <f>"На обробці в адмін. органі"</f>
        <v>На обробці в адмін. органі</v>
      </c>
      <c r="D2712" s="1" t="s">
        <v>2</v>
      </c>
      <c r="E2712" s="1" t="str">
        <f>"Будівництво"</f>
        <v>Будівництво</v>
      </c>
      <c r="F271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12" s="1" t="str">
        <f>"30"</f>
        <v>30</v>
      </c>
      <c r="H2712" s="1" t="str">
        <f>""</f>
        <v/>
      </c>
      <c r="I2712" s="1" t="str">
        <f>""</f>
        <v/>
      </c>
      <c r="J2712" s="1" t="str">
        <f>"Ні"</f>
        <v>Ні</v>
      </c>
    </row>
    <row r="2713" spans="1:10" ht="135" x14ac:dyDescent="0.25">
      <c r="A2713" s="1" t="str">
        <f>"2733-2020/27"</f>
        <v>2733-2020/27</v>
      </c>
      <c r="B2713" s="1" t="str">
        <f t="shared" si="466"/>
        <v>02.06.2020</v>
      </c>
      <c r="C2713" s="1" t="str">
        <f t="shared" ref="C2713:C2747" si="469">"Закрито"</f>
        <v>Закрито</v>
      </c>
      <c r="D271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13" s="1" t="str">
        <f>"Земельні питання"</f>
        <v>Земельні питання</v>
      </c>
      <c r="F27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13" s="1" t="str">
        <f>"3"</f>
        <v>3</v>
      </c>
      <c r="H2713" s="1" t="str">
        <f>"Результат"</f>
        <v>Результат</v>
      </c>
      <c r="I2713" s="1" t="str">
        <f>"Позитивний"</f>
        <v>Позитивний</v>
      </c>
      <c r="J2713" s="1" t="str">
        <f>"Ні"</f>
        <v>Ні</v>
      </c>
    </row>
    <row r="2714" spans="1:10" ht="105" x14ac:dyDescent="0.25">
      <c r="A2714" s="1" t="str">
        <f>"2720-2020/27"</f>
        <v>2720-2020/27</v>
      </c>
      <c r="B2714" s="1" t="str">
        <f t="shared" si="466"/>
        <v>02.06.2020</v>
      </c>
      <c r="C2714" s="1" t="str">
        <f t="shared" si="469"/>
        <v>Закрито</v>
      </c>
      <c r="D271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14" s="1" t="str">
        <f>"Земельні питання"</f>
        <v>Земельні питання</v>
      </c>
      <c r="F271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14" s="1" t="str">
        <f>"1"</f>
        <v>1</v>
      </c>
      <c r="H2714" s="1" t="str">
        <f>"Результат"</f>
        <v>Результат</v>
      </c>
      <c r="I2714" s="1" t="str">
        <f>"Позитивний"</f>
        <v>Позитивний</v>
      </c>
      <c r="J2714" s="1" t="str">
        <f>"Так"</f>
        <v>Так</v>
      </c>
    </row>
    <row r="2715" spans="1:10" ht="135" x14ac:dyDescent="0.25">
      <c r="A2715" s="1" t="str">
        <f>"2721-2020/27"</f>
        <v>2721-2020/27</v>
      </c>
      <c r="B2715" s="1" t="str">
        <f t="shared" si="466"/>
        <v>02.06.2020</v>
      </c>
      <c r="C2715" s="1" t="str">
        <f t="shared" si="469"/>
        <v>Закрито</v>
      </c>
      <c r="D271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15" s="1" t="str">
        <f>"Земельні питання"</f>
        <v>Земельні питання</v>
      </c>
      <c r="F27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15" s="1" t="str">
        <f>"3"</f>
        <v>3</v>
      </c>
      <c r="H2715" s="1" t="str">
        <f>"Результат"</f>
        <v>Результат</v>
      </c>
      <c r="I2715" s="1" t="str">
        <f>"Позитивний"</f>
        <v>Позитивний</v>
      </c>
      <c r="J2715" s="1" t="str">
        <f>"Ні"</f>
        <v>Ні</v>
      </c>
    </row>
    <row r="2716" spans="1:10" ht="45" x14ac:dyDescent="0.25">
      <c r="A2716" s="1" t="str">
        <f>"2723-2020/27"</f>
        <v>2723-2020/27</v>
      </c>
      <c r="B2716" s="1" t="str">
        <f t="shared" si="466"/>
        <v>02.06.2020</v>
      </c>
      <c r="C2716" s="1" t="str">
        <f t="shared" si="469"/>
        <v>Закрито</v>
      </c>
      <c r="D2716" s="1" t="str">
        <f>"Реєстрація місця проживання особи"</f>
        <v>Реєстрація місця проживання особи</v>
      </c>
      <c r="E2716" s="1" t="str">
        <f>"Реєстрація місця проживання"</f>
        <v>Реєстрація місця проживання</v>
      </c>
      <c r="F2716" s="1" t="str">
        <f>"Відділ реєстрації Новокаховської міської ради"</f>
        <v>Відділ реєстрації Новокаховської міської ради</v>
      </c>
      <c r="G2716" s="1" t="str">
        <f>"1"</f>
        <v>1</v>
      </c>
      <c r="H2716" s="1" t="str">
        <f>"Результат"</f>
        <v>Результат</v>
      </c>
      <c r="I2716" s="1" t="str">
        <f>"Позитивний"</f>
        <v>Позитивний</v>
      </c>
      <c r="J2716" s="1" t="str">
        <f>"Так"</f>
        <v>Так</v>
      </c>
    </row>
    <row r="2717" spans="1:10" ht="45" x14ac:dyDescent="0.25">
      <c r="A2717" s="1" t="str">
        <f>"2756-2020/27"</f>
        <v>2756-2020/27</v>
      </c>
      <c r="B2717" s="1" t="str">
        <f t="shared" ref="B2717:B2747" si="470">"03.06.2020"</f>
        <v>03.06.2020</v>
      </c>
      <c r="C2717" s="1" t="str">
        <f t="shared" si="469"/>
        <v>Закрито</v>
      </c>
      <c r="D2717" s="1" t="str">
        <f>"Реєстрація місця проживання особи"</f>
        <v>Реєстрація місця проживання особи</v>
      </c>
      <c r="E2717" s="1" t="str">
        <f>"Реєстрація місця проживання"</f>
        <v>Реєстрація місця проживання</v>
      </c>
      <c r="F2717" s="1" t="str">
        <f>"Відділ реєстрації Новокаховської міської ради"</f>
        <v>Відділ реєстрації Новокаховської міської ради</v>
      </c>
      <c r="G2717" s="1" t="str">
        <f>"1"</f>
        <v>1</v>
      </c>
      <c r="H2717" s="1" t="str">
        <f>"Результат"</f>
        <v>Результат</v>
      </c>
      <c r="I2717" s="1" t="str">
        <f>"Позитивний"</f>
        <v>Позитивний</v>
      </c>
      <c r="J2717" s="1" t="str">
        <f>"Так"</f>
        <v>Так</v>
      </c>
    </row>
    <row r="2718" spans="1:10" ht="135" x14ac:dyDescent="0.25">
      <c r="A2718" s="1" t="str">
        <f>"2746-2020/27"</f>
        <v>2746-2020/27</v>
      </c>
      <c r="B2718" s="1" t="str">
        <f t="shared" si="470"/>
        <v>03.06.2020</v>
      </c>
      <c r="C2718" s="1" t="str">
        <f t="shared" si="469"/>
        <v>Закрито</v>
      </c>
      <c r="D271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18" s="1" t="str">
        <f>"Земельні питання"</f>
        <v>Земельні питання</v>
      </c>
      <c r="F27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18" s="1" t="str">
        <f>"3"</f>
        <v>3</v>
      </c>
      <c r="H2718" s="1" t="str">
        <f>"Результат"</f>
        <v>Результат</v>
      </c>
      <c r="I2718" s="1" t="str">
        <f>"Позитивний"</f>
        <v>Позитивний</v>
      </c>
      <c r="J2718" s="1" t="str">
        <f>"Ні"</f>
        <v>Ні</v>
      </c>
    </row>
    <row r="2719" spans="1:10" ht="135" x14ac:dyDescent="0.25">
      <c r="A2719" s="1" t="str">
        <f>"2758-2020/27"</f>
        <v>2758-2020/27</v>
      </c>
      <c r="B2719" s="1" t="str">
        <f t="shared" si="470"/>
        <v>03.06.2020</v>
      </c>
      <c r="C2719" s="1" t="str">
        <f t="shared" si="469"/>
        <v>Закрито</v>
      </c>
      <c r="D271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19" s="1" t="str">
        <f>"Земельні питання"</f>
        <v>Земельні питання</v>
      </c>
      <c r="F271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19" s="1" t="str">
        <f>"14"</f>
        <v>14</v>
      </c>
      <c r="H2719" s="1" t="str">
        <f>"Результат"</f>
        <v>Результат</v>
      </c>
      <c r="I2719" s="1" t="str">
        <f>"Позитивний"</f>
        <v>Позитивний</v>
      </c>
      <c r="J2719" s="1" t="str">
        <f>"Ні"</f>
        <v>Ні</v>
      </c>
    </row>
    <row r="2720" spans="1:10" ht="45" x14ac:dyDescent="0.25">
      <c r="A2720" s="1" t="str">
        <f>"2751-2020/27"</f>
        <v>2751-2020/27</v>
      </c>
      <c r="B2720" s="1" t="str">
        <f t="shared" si="470"/>
        <v>03.06.2020</v>
      </c>
      <c r="C2720" s="1" t="str">
        <f t="shared" si="469"/>
        <v>Закрито</v>
      </c>
      <c r="D2720" s="1" t="str">
        <f>"Реєстрація місця проживання особи"</f>
        <v>Реєстрація місця проживання особи</v>
      </c>
      <c r="E2720" s="1" t="str">
        <f>"Реєстрація місця проживання"</f>
        <v>Реєстрація місця проживання</v>
      </c>
      <c r="F2720" s="1" t="str">
        <f>"Відділ реєстрації Новокаховської міської ради"</f>
        <v>Відділ реєстрації Новокаховської міської ради</v>
      </c>
      <c r="G2720" s="1" t="str">
        <f>"1"</f>
        <v>1</v>
      </c>
      <c r="H2720" s="1" t="str">
        <f>"Результат"</f>
        <v>Результат</v>
      </c>
      <c r="I2720" s="1" t="str">
        <f>"Позитивний"</f>
        <v>Позитивний</v>
      </c>
      <c r="J2720" s="1" t="str">
        <f>"Так"</f>
        <v>Так</v>
      </c>
    </row>
    <row r="2721" spans="1:10" ht="105" x14ac:dyDescent="0.25">
      <c r="A2721" s="1" t="str">
        <f>"2760-2020/27"</f>
        <v>2760-2020/27</v>
      </c>
      <c r="B2721" s="1" t="str">
        <f t="shared" si="470"/>
        <v>03.06.2020</v>
      </c>
      <c r="C2721" s="1" t="str">
        <f t="shared" si="469"/>
        <v>Закрито</v>
      </c>
      <c r="D27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21" s="1" t="str">
        <f t="shared" ref="E2721:E2727" si="471">"Земельні питання"</f>
        <v>Земельні питання</v>
      </c>
      <c r="F272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21" s="1" t="str">
        <f>"1"</f>
        <v>1</v>
      </c>
      <c r="H2721" s="1" t="str">
        <f>"Результат"</f>
        <v>Результат</v>
      </c>
      <c r="I2721" s="1" t="str">
        <f>"Позитивний"</f>
        <v>Позитивний</v>
      </c>
      <c r="J2721" s="1" t="str">
        <f>"Так"</f>
        <v>Так</v>
      </c>
    </row>
    <row r="2722" spans="1:10" ht="135" x14ac:dyDescent="0.25">
      <c r="A2722" s="1" t="str">
        <f>"2768-2020/27"</f>
        <v>2768-2020/27</v>
      </c>
      <c r="B2722" s="1" t="str">
        <f t="shared" si="470"/>
        <v>03.06.2020</v>
      </c>
      <c r="C2722" s="1" t="str">
        <f t="shared" si="469"/>
        <v>Закрито</v>
      </c>
      <c r="D272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22" s="1" t="str">
        <f t="shared" si="471"/>
        <v>Земельні питання</v>
      </c>
      <c r="F27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22" s="1" t="str">
        <f>"14"</f>
        <v>14</v>
      </c>
      <c r="H2722" s="1" t="str">
        <f>"Результат"</f>
        <v>Результат</v>
      </c>
      <c r="I2722" s="1" t="str">
        <f>"Позитивний"</f>
        <v>Позитивний</v>
      </c>
      <c r="J2722" s="1" t="str">
        <f>"Ні"</f>
        <v>Ні</v>
      </c>
    </row>
    <row r="2723" spans="1:10" ht="135" x14ac:dyDescent="0.25">
      <c r="A2723" s="1" t="str">
        <f>"2774-2020/27"</f>
        <v>2774-2020/27</v>
      </c>
      <c r="B2723" s="1" t="str">
        <f t="shared" si="470"/>
        <v>03.06.2020</v>
      </c>
      <c r="C2723" s="1" t="str">
        <f t="shared" si="469"/>
        <v>Закрито</v>
      </c>
      <c r="D27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23" s="1" t="str">
        <f t="shared" si="471"/>
        <v>Земельні питання</v>
      </c>
      <c r="F27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23" s="1" t="str">
        <f>"1"</f>
        <v>1</v>
      </c>
      <c r="H2723" s="1" t="str">
        <f>"Результат"</f>
        <v>Результат</v>
      </c>
      <c r="I2723" s="1" t="str">
        <f>"Позитивний"</f>
        <v>Позитивний</v>
      </c>
      <c r="J2723" s="1" t="str">
        <f>"Так"</f>
        <v>Так</v>
      </c>
    </row>
    <row r="2724" spans="1:10" ht="105" x14ac:dyDescent="0.25">
      <c r="A2724" s="1" t="str">
        <f>"2761-2020/27"</f>
        <v>2761-2020/27</v>
      </c>
      <c r="B2724" s="1" t="str">
        <f t="shared" si="470"/>
        <v>03.06.2020</v>
      </c>
      <c r="C2724" s="1" t="str">
        <f t="shared" si="469"/>
        <v>Закрито</v>
      </c>
      <c r="D272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24" s="1" t="str">
        <f t="shared" si="471"/>
        <v>Земельні питання</v>
      </c>
      <c r="F272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24" s="1" t="str">
        <f>"1"</f>
        <v>1</v>
      </c>
      <c r="H2724" s="1" t="str">
        <f>"Результат"</f>
        <v>Результат</v>
      </c>
      <c r="I2724" s="1" t="str">
        <f>"Позитивний"</f>
        <v>Позитивний</v>
      </c>
      <c r="J2724" s="1" t="str">
        <f>"Ні"</f>
        <v>Ні</v>
      </c>
    </row>
    <row r="2725" spans="1:10" ht="135" x14ac:dyDescent="0.25">
      <c r="A2725" s="1" t="str">
        <f>"2772-2020/27"</f>
        <v>2772-2020/27</v>
      </c>
      <c r="B2725" s="1" t="str">
        <f t="shared" si="470"/>
        <v>03.06.2020</v>
      </c>
      <c r="C2725" s="1" t="str">
        <f t="shared" si="469"/>
        <v>Закрито</v>
      </c>
      <c r="D272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25" s="1" t="str">
        <f t="shared" si="471"/>
        <v>Земельні питання</v>
      </c>
      <c r="F27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25" s="1" t="str">
        <f>"1"</f>
        <v>1</v>
      </c>
      <c r="H2725" s="1" t="str">
        <f>"Результат"</f>
        <v>Результат</v>
      </c>
      <c r="I2725" s="1" t="str">
        <f>"Позитивний"</f>
        <v>Позитивний</v>
      </c>
      <c r="J2725" s="1" t="str">
        <f>"Так"</f>
        <v>Так</v>
      </c>
    </row>
    <row r="2726" spans="1:10" ht="135" x14ac:dyDescent="0.25">
      <c r="A2726" s="1" t="str">
        <f>"2753-2020/27"</f>
        <v>2753-2020/27</v>
      </c>
      <c r="B2726" s="1" t="str">
        <f t="shared" si="470"/>
        <v>03.06.2020</v>
      </c>
      <c r="C2726" s="1" t="str">
        <f t="shared" si="469"/>
        <v>Закрито</v>
      </c>
      <c r="D272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26" s="1" t="str">
        <f t="shared" si="471"/>
        <v>Земельні питання</v>
      </c>
      <c r="F27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26" s="1" t="str">
        <f>"1"</f>
        <v>1</v>
      </c>
      <c r="H2726" s="1" t="str">
        <f>"Результат"</f>
        <v>Результат</v>
      </c>
      <c r="I2726" s="1" t="str">
        <f>"Позитивний"</f>
        <v>Позитивний</v>
      </c>
      <c r="J2726" s="1" t="str">
        <f>"Так"</f>
        <v>Так</v>
      </c>
    </row>
    <row r="2727" spans="1:10" ht="135" x14ac:dyDescent="0.25">
      <c r="A2727" s="1" t="str">
        <f>"2759-2020/27"</f>
        <v>2759-2020/27</v>
      </c>
      <c r="B2727" s="1" t="str">
        <f t="shared" si="470"/>
        <v>03.06.2020</v>
      </c>
      <c r="C2727" s="1" t="str">
        <f t="shared" si="469"/>
        <v>Закрито</v>
      </c>
      <c r="D272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27" s="1" t="str">
        <f t="shared" si="471"/>
        <v>Земельні питання</v>
      </c>
      <c r="F27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27" s="1" t="str">
        <f>"14"</f>
        <v>14</v>
      </c>
      <c r="H2727" s="1" t="str">
        <f>"Результат"</f>
        <v>Результат</v>
      </c>
      <c r="I2727" s="1" t="str">
        <f>"Позитивний"</f>
        <v>Позитивний</v>
      </c>
      <c r="J2727" s="1" t="str">
        <f>"Ні"</f>
        <v>Ні</v>
      </c>
    </row>
    <row r="2728" spans="1:10" ht="45" x14ac:dyDescent="0.25">
      <c r="A2728" s="1" t="str">
        <f>"2764-2020/27"</f>
        <v>2764-2020/27</v>
      </c>
      <c r="B2728" s="1" t="str">
        <f t="shared" si="470"/>
        <v>03.06.2020</v>
      </c>
      <c r="C2728" s="1" t="str">
        <f t="shared" si="469"/>
        <v>Закрито</v>
      </c>
      <c r="D2728" s="1" t="str">
        <f>"Реєстрація місця проживання особи"</f>
        <v>Реєстрація місця проживання особи</v>
      </c>
      <c r="E2728" s="1" t="str">
        <f>"Реєстрація місця проживання"</f>
        <v>Реєстрація місця проживання</v>
      </c>
      <c r="F2728" s="1" t="str">
        <f>"Відділ реєстрації Новокаховської міської ради"</f>
        <v>Відділ реєстрації Новокаховської міської ради</v>
      </c>
      <c r="G2728" s="1" t="str">
        <f>"1"</f>
        <v>1</v>
      </c>
      <c r="H2728" s="1" t="str">
        <f>"Результат"</f>
        <v>Результат</v>
      </c>
      <c r="I2728" s="1" t="str">
        <f>"Позитивний"</f>
        <v>Позитивний</v>
      </c>
      <c r="J2728" s="1" t="str">
        <f>"Так"</f>
        <v>Так</v>
      </c>
    </row>
    <row r="2729" spans="1:10" ht="105" x14ac:dyDescent="0.25">
      <c r="A2729" s="1" t="str">
        <f>"2767-2020/27"</f>
        <v>2767-2020/27</v>
      </c>
      <c r="B2729" s="1" t="str">
        <f t="shared" si="470"/>
        <v>03.06.2020</v>
      </c>
      <c r="C2729" s="1" t="str">
        <f t="shared" si="469"/>
        <v>Закрито</v>
      </c>
      <c r="D272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29" s="1" t="str">
        <f>"Земельні питання"</f>
        <v>Земельні питання</v>
      </c>
      <c r="F272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29" s="1" t="str">
        <f>"1"</f>
        <v>1</v>
      </c>
      <c r="H2729" s="1" t="str">
        <f>"Результат"</f>
        <v>Результат</v>
      </c>
      <c r="I2729" s="1" t="str">
        <f>"Позитивний"</f>
        <v>Позитивний</v>
      </c>
      <c r="J2729" s="1" t="str">
        <f>"Ні"</f>
        <v>Ні</v>
      </c>
    </row>
    <row r="2730" spans="1:10" ht="90" x14ac:dyDescent="0.25">
      <c r="A2730" s="1" t="str">
        <f>"2775-2020/27"</f>
        <v>2775-2020/27</v>
      </c>
      <c r="B2730" s="1" t="str">
        <f t="shared" si="470"/>
        <v>03.06.2020</v>
      </c>
      <c r="C2730" s="1" t="str">
        <f t="shared" si="469"/>
        <v>Закрито</v>
      </c>
      <c r="D273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30" s="1" t="str">
        <f>"Інші послуги"</f>
        <v>Інші послуги</v>
      </c>
      <c r="F273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30" s="1" t="str">
        <f>"5"</f>
        <v>5</v>
      </c>
      <c r="H2730" s="1" t="str">
        <f>"Результат"</f>
        <v>Результат</v>
      </c>
      <c r="I2730" s="1" t="str">
        <f>"Позитивний"</f>
        <v>Позитивний</v>
      </c>
      <c r="J2730" s="1" t="str">
        <f>"Ні"</f>
        <v>Ні</v>
      </c>
    </row>
    <row r="2731" spans="1:10" ht="45" x14ac:dyDescent="0.25">
      <c r="A2731" s="1" t="str">
        <f>"2765-2020/27"</f>
        <v>2765-2020/27</v>
      </c>
      <c r="B2731" s="1" t="str">
        <f t="shared" si="470"/>
        <v>03.06.2020</v>
      </c>
      <c r="C2731" s="1" t="str">
        <f t="shared" si="469"/>
        <v>Закрито</v>
      </c>
      <c r="D2731" s="1" t="str">
        <f>"Реєстрація місця проживання особи"</f>
        <v>Реєстрація місця проживання особи</v>
      </c>
      <c r="E2731" s="1" t="str">
        <f>"Реєстрація місця проживання"</f>
        <v>Реєстрація місця проживання</v>
      </c>
      <c r="F2731" s="1" t="str">
        <f>"Відділ реєстрації Новокаховської міської ради"</f>
        <v>Відділ реєстрації Новокаховської міської ради</v>
      </c>
      <c r="G2731" s="1" t="str">
        <f>"1"</f>
        <v>1</v>
      </c>
      <c r="H2731" s="1" t="str">
        <f>"Результат"</f>
        <v>Результат</v>
      </c>
      <c r="I2731" s="1" t="str">
        <f>"Позитивний"</f>
        <v>Позитивний</v>
      </c>
      <c r="J2731" s="1" t="str">
        <f>"Так"</f>
        <v>Так</v>
      </c>
    </row>
    <row r="2732" spans="1:10" ht="135" x14ac:dyDescent="0.25">
      <c r="A2732" s="1" t="str">
        <f>"2770-2020/27"</f>
        <v>2770-2020/27</v>
      </c>
      <c r="B2732" s="1" t="str">
        <f t="shared" si="470"/>
        <v>03.06.2020</v>
      </c>
      <c r="C2732" s="1" t="str">
        <f t="shared" si="469"/>
        <v>Закрито</v>
      </c>
      <c r="D273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32" s="1" t="str">
        <f>"Земельні питання"</f>
        <v>Земельні питання</v>
      </c>
      <c r="F27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32" s="1" t="str">
        <f>"3"</f>
        <v>3</v>
      </c>
      <c r="H2732" s="1" t="str">
        <f>"Результат"</f>
        <v>Результат</v>
      </c>
      <c r="I2732" s="1" t="str">
        <f>"Мотивована відмова"</f>
        <v>Мотивована відмова</v>
      </c>
      <c r="J2732" s="1" t="str">
        <f>"Ні"</f>
        <v>Ні</v>
      </c>
    </row>
    <row r="2733" spans="1:10" ht="135" x14ac:dyDescent="0.25">
      <c r="A2733" s="1" t="str">
        <f>"2750-2020/27"</f>
        <v>2750-2020/27</v>
      </c>
      <c r="B2733" s="1" t="str">
        <f t="shared" si="470"/>
        <v>03.06.2020</v>
      </c>
      <c r="C2733" s="1" t="str">
        <f t="shared" si="469"/>
        <v>Закрито</v>
      </c>
      <c r="D2733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733" s="1" t="str">
        <f>"Земельні питання"</f>
        <v>Земельні питання</v>
      </c>
      <c r="F27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33" s="1" t="str">
        <f>"14"</f>
        <v>14</v>
      </c>
      <c r="H2733" s="1" t="str">
        <f>"Результат"</f>
        <v>Результат</v>
      </c>
      <c r="I2733" s="1" t="str">
        <f>"Позитивний"</f>
        <v>Позитивний</v>
      </c>
      <c r="J2733" s="1" t="str">
        <f>"Ні"</f>
        <v>Ні</v>
      </c>
    </row>
    <row r="2734" spans="1:10" ht="45" x14ac:dyDescent="0.25">
      <c r="A2734" s="1" t="str">
        <f>"2747-2020/27"</f>
        <v>2747-2020/27</v>
      </c>
      <c r="B2734" s="1" t="str">
        <f t="shared" si="470"/>
        <v>03.06.2020</v>
      </c>
      <c r="C2734" s="1" t="str">
        <f t="shared" si="469"/>
        <v>Закрито</v>
      </c>
      <c r="D2734" s="1" t="str">
        <f>"Зняття з реєстрації місця проживання"</f>
        <v>Зняття з реєстрації місця проживання</v>
      </c>
      <c r="E2734" s="1" t="str">
        <f>"Реєстрація місця проживання"</f>
        <v>Реєстрація місця проживання</v>
      </c>
      <c r="F2734" s="1" t="str">
        <f>"Відділ реєстрації Новокаховської міської ради"</f>
        <v>Відділ реєстрації Новокаховської міської ради</v>
      </c>
      <c r="G2734" s="1" t="str">
        <f>"1"</f>
        <v>1</v>
      </c>
      <c r="H2734" s="1" t="str">
        <f>"Результат"</f>
        <v>Результат</v>
      </c>
      <c r="I2734" s="1" t="str">
        <f>"Позитивний"</f>
        <v>Позитивний</v>
      </c>
      <c r="J2734" s="1" t="str">
        <f>"Так"</f>
        <v>Так</v>
      </c>
    </row>
    <row r="2735" spans="1:10" ht="105" x14ac:dyDescent="0.25">
      <c r="A2735" s="1" t="str">
        <f>"2766-2020/27"</f>
        <v>2766-2020/27</v>
      </c>
      <c r="B2735" s="1" t="str">
        <f t="shared" si="470"/>
        <v>03.06.2020</v>
      </c>
      <c r="C2735" s="1" t="str">
        <f t="shared" si="469"/>
        <v>Закрито</v>
      </c>
      <c r="D273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35" s="1" t="str">
        <f>"Земельні питання"</f>
        <v>Земельні питання</v>
      </c>
      <c r="F273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35" s="1" t="str">
        <f>"1"</f>
        <v>1</v>
      </c>
      <c r="H2735" s="1" t="str">
        <f>"Результат"</f>
        <v>Результат</v>
      </c>
      <c r="I2735" s="1" t="str">
        <f>"Позитивний"</f>
        <v>Позитивний</v>
      </c>
      <c r="J2735" s="1" t="str">
        <f>"Ні"</f>
        <v>Ні</v>
      </c>
    </row>
    <row r="2736" spans="1:10" ht="135" x14ac:dyDescent="0.25">
      <c r="A2736" s="1" t="str">
        <f>"2771-2020/27"</f>
        <v>2771-2020/27</v>
      </c>
      <c r="B2736" s="1" t="str">
        <f t="shared" si="470"/>
        <v>03.06.2020</v>
      </c>
      <c r="C2736" s="1" t="str">
        <f t="shared" si="469"/>
        <v>Закрито</v>
      </c>
      <c r="D273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36" s="1" t="str">
        <f>"Земельні питання"</f>
        <v>Земельні питання</v>
      </c>
      <c r="F273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36" s="1" t="str">
        <f>"3"</f>
        <v>3</v>
      </c>
      <c r="H2736" s="1" t="str">
        <f>"Результат"</f>
        <v>Результат</v>
      </c>
      <c r="I2736" s="1" t="str">
        <f>"Позитивний"</f>
        <v>Позитивний</v>
      </c>
      <c r="J2736" s="1" t="str">
        <f>"Ні"</f>
        <v>Ні</v>
      </c>
    </row>
    <row r="2737" spans="1:10" ht="135" x14ac:dyDescent="0.25">
      <c r="A2737" s="1" t="str">
        <f>"2752-2020/27"</f>
        <v>2752-2020/27</v>
      </c>
      <c r="B2737" s="1" t="str">
        <f t="shared" si="470"/>
        <v>03.06.2020</v>
      </c>
      <c r="C2737" s="1" t="str">
        <f t="shared" si="469"/>
        <v>Закрито</v>
      </c>
      <c r="D273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37" s="1" t="str">
        <f>"Земельні питання"</f>
        <v>Земельні питання</v>
      </c>
      <c r="F27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37" s="1" t="str">
        <f>"1"</f>
        <v>1</v>
      </c>
      <c r="H2737" s="1" t="str">
        <f>"Результат"</f>
        <v>Результат</v>
      </c>
      <c r="I2737" s="1" t="str">
        <f>"Позитивний"</f>
        <v>Позитивний</v>
      </c>
      <c r="J2737" s="1" t="str">
        <f>"Так"</f>
        <v>Так</v>
      </c>
    </row>
    <row r="2738" spans="1:10" ht="135" x14ac:dyDescent="0.25">
      <c r="A2738" s="1" t="str">
        <f>"2754-2020/27"</f>
        <v>2754-2020/27</v>
      </c>
      <c r="B2738" s="1" t="str">
        <f t="shared" si="470"/>
        <v>03.06.2020</v>
      </c>
      <c r="C2738" s="1" t="str">
        <f t="shared" si="469"/>
        <v>Закрито</v>
      </c>
      <c r="D273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38" s="1" t="str">
        <f>"Земельні питання"</f>
        <v>Земельні питання</v>
      </c>
      <c r="F27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38" s="1" t="str">
        <f>"1"</f>
        <v>1</v>
      </c>
      <c r="H2738" s="1" t="str">
        <f>"Результат"</f>
        <v>Результат</v>
      </c>
      <c r="I2738" s="1" t="str">
        <f>"Позитивний"</f>
        <v>Позитивний</v>
      </c>
      <c r="J2738" s="1" t="str">
        <f>"Так"</f>
        <v>Так</v>
      </c>
    </row>
    <row r="2739" spans="1:10" ht="45" x14ac:dyDescent="0.25">
      <c r="A2739" s="1" t="str">
        <f>"2762-2020/27"</f>
        <v>2762-2020/27</v>
      </c>
      <c r="B2739" s="1" t="str">
        <f t="shared" si="470"/>
        <v>03.06.2020</v>
      </c>
      <c r="C2739" s="1" t="str">
        <f t="shared" si="469"/>
        <v>Закрито</v>
      </c>
      <c r="D2739" s="1" t="str">
        <f>"Реєстрація місця проживання особи"</f>
        <v>Реєстрація місця проживання особи</v>
      </c>
      <c r="E2739" s="1" t="str">
        <f>"Реєстрація місця проживання"</f>
        <v>Реєстрація місця проживання</v>
      </c>
      <c r="F2739" s="1" t="str">
        <f>"Відділ реєстрації Новокаховської міської ради"</f>
        <v>Відділ реєстрації Новокаховської міської ради</v>
      </c>
      <c r="G2739" s="1" t="str">
        <f>"1"</f>
        <v>1</v>
      </c>
      <c r="H2739" s="1" t="str">
        <f>"Результат"</f>
        <v>Результат</v>
      </c>
      <c r="I2739" s="1" t="str">
        <f>"Позитивний"</f>
        <v>Позитивний</v>
      </c>
      <c r="J2739" s="1" t="str">
        <f>"Так"</f>
        <v>Так</v>
      </c>
    </row>
    <row r="2740" spans="1:10" ht="45" x14ac:dyDescent="0.25">
      <c r="A2740" s="1" t="str">
        <f>"2755-2020/27"</f>
        <v>2755-2020/27</v>
      </c>
      <c r="B2740" s="1" t="str">
        <f t="shared" si="470"/>
        <v>03.06.2020</v>
      </c>
      <c r="C2740" s="1" t="str">
        <f t="shared" si="469"/>
        <v>Закрито</v>
      </c>
      <c r="D2740" s="1" t="str">
        <f>"Зняття з реєстрації місця проживання"</f>
        <v>Зняття з реєстрації місця проживання</v>
      </c>
      <c r="E2740" s="1" t="str">
        <f>"Реєстрація місця проживання"</f>
        <v>Реєстрація місця проживання</v>
      </c>
      <c r="F2740" s="1" t="str">
        <f>"Відділ реєстрації Новокаховської міської ради"</f>
        <v>Відділ реєстрації Новокаховської міської ради</v>
      </c>
      <c r="G2740" s="1" t="str">
        <f>"1"</f>
        <v>1</v>
      </c>
      <c r="H2740" s="1" t="str">
        <f>"Результат"</f>
        <v>Результат</v>
      </c>
      <c r="I2740" s="1" t="str">
        <f>"Позитивний"</f>
        <v>Позитивний</v>
      </c>
      <c r="J2740" s="1" t="str">
        <f>"Так"</f>
        <v>Так</v>
      </c>
    </row>
    <row r="2741" spans="1:10" ht="45" x14ac:dyDescent="0.25">
      <c r="A2741" s="1" t="str">
        <f>"2757-2020/27"</f>
        <v>2757-2020/27</v>
      </c>
      <c r="B2741" s="1" t="str">
        <f t="shared" si="470"/>
        <v>03.06.2020</v>
      </c>
      <c r="C2741" s="1" t="str">
        <f t="shared" si="469"/>
        <v>Закрито</v>
      </c>
      <c r="D2741" s="1" t="str">
        <f>"Реєстрація місця проживання особи"</f>
        <v>Реєстрація місця проживання особи</v>
      </c>
      <c r="E2741" s="1" t="str">
        <f>"Реєстрація місця проживання"</f>
        <v>Реєстрація місця проживання</v>
      </c>
      <c r="F2741" s="1" t="str">
        <f>"Відділ реєстрації Новокаховської міської ради"</f>
        <v>Відділ реєстрації Новокаховської міської ради</v>
      </c>
      <c r="G2741" s="1" t="str">
        <f>"1"</f>
        <v>1</v>
      </c>
      <c r="H2741" s="1" t="str">
        <f>"Результат"</f>
        <v>Результат</v>
      </c>
      <c r="I2741" s="1" t="str">
        <f>"Позитивний"</f>
        <v>Позитивний</v>
      </c>
      <c r="J2741" s="1" t="str">
        <f>"Так"</f>
        <v>Так</v>
      </c>
    </row>
    <row r="2742" spans="1:10" ht="90" x14ac:dyDescent="0.25">
      <c r="A2742" s="1" t="str">
        <f>"2776-2020/27"</f>
        <v>2776-2020/27</v>
      </c>
      <c r="B2742" s="1" t="str">
        <f t="shared" si="470"/>
        <v>03.06.2020</v>
      </c>
      <c r="C2742" s="1" t="str">
        <f t="shared" si="469"/>
        <v>Закрито</v>
      </c>
      <c r="D274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42" s="1" t="str">
        <f>"Інші послуги"</f>
        <v>Інші послуги</v>
      </c>
      <c r="F274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42" s="1" t="str">
        <f>"5"</f>
        <v>5</v>
      </c>
      <c r="H2742" s="1" t="str">
        <f>"Результат"</f>
        <v>Результат</v>
      </c>
      <c r="I2742" s="1" t="str">
        <f>"Позитивний"</f>
        <v>Позитивний</v>
      </c>
      <c r="J2742" s="1" t="str">
        <f>"Ні"</f>
        <v>Ні</v>
      </c>
    </row>
    <row r="2743" spans="1:10" ht="45" x14ac:dyDescent="0.25">
      <c r="A2743" s="1" t="str">
        <f>"2748-2020/27"</f>
        <v>2748-2020/27</v>
      </c>
      <c r="B2743" s="1" t="str">
        <f t="shared" si="470"/>
        <v>03.06.2020</v>
      </c>
      <c r="C2743" s="1" t="str">
        <f t="shared" si="469"/>
        <v>Закрито</v>
      </c>
      <c r="D2743" s="1" t="str">
        <f>"Реєстрація місця проживання особи"</f>
        <v>Реєстрація місця проживання особи</v>
      </c>
      <c r="E2743" s="1" t="str">
        <f>"Реєстрація місця проживання"</f>
        <v>Реєстрація місця проживання</v>
      </c>
      <c r="F2743" s="1" t="str">
        <f>"Відділ реєстрації Новокаховської міської ради"</f>
        <v>Відділ реєстрації Новокаховської міської ради</v>
      </c>
      <c r="G2743" s="1" t="str">
        <f>"1"</f>
        <v>1</v>
      </c>
      <c r="H2743" s="1" t="str">
        <f>"Результат"</f>
        <v>Результат</v>
      </c>
      <c r="I2743" s="1" t="str">
        <f>"Позитивний"</f>
        <v>Позитивний</v>
      </c>
      <c r="J2743" s="1" t="str">
        <f>"Так"</f>
        <v>Так</v>
      </c>
    </row>
    <row r="2744" spans="1:10" ht="45" x14ac:dyDescent="0.25">
      <c r="A2744" s="1" t="str">
        <f>"2763-2020/27"</f>
        <v>2763-2020/27</v>
      </c>
      <c r="B2744" s="1" t="str">
        <f t="shared" si="470"/>
        <v>03.06.2020</v>
      </c>
      <c r="C2744" s="1" t="str">
        <f t="shared" si="469"/>
        <v>Закрито</v>
      </c>
      <c r="D2744" s="1" t="str">
        <f>"Реєстрація місця проживання особи"</f>
        <v>Реєстрація місця проживання особи</v>
      </c>
      <c r="E2744" s="1" t="str">
        <f>"Реєстрація місця проживання"</f>
        <v>Реєстрація місця проживання</v>
      </c>
      <c r="F2744" s="1" t="str">
        <f>"Відділ реєстрації Новокаховської міської ради"</f>
        <v>Відділ реєстрації Новокаховської міської ради</v>
      </c>
      <c r="G2744" s="1" t="str">
        <f>"1"</f>
        <v>1</v>
      </c>
      <c r="H2744" s="1" t="str">
        <f>"Результат"</f>
        <v>Результат</v>
      </c>
      <c r="I2744" s="1" t="str">
        <f>"Позитивний"</f>
        <v>Позитивний</v>
      </c>
      <c r="J2744" s="1" t="str">
        <f>"Так"</f>
        <v>Так</v>
      </c>
    </row>
    <row r="2745" spans="1:10" ht="135" x14ac:dyDescent="0.25">
      <c r="A2745" s="1" t="str">
        <f>"2769-2020/27"</f>
        <v>2769-2020/27</v>
      </c>
      <c r="B2745" s="1" t="str">
        <f t="shared" si="470"/>
        <v>03.06.2020</v>
      </c>
      <c r="C2745" s="1" t="str">
        <f t="shared" si="469"/>
        <v>Закрито</v>
      </c>
      <c r="D274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45" s="1" t="str">
        <f>"Земельні питання"</f>
        <v>Земельні питання</v>
      </c>
      <c r="F274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45" s="1" t="str">
        <f>"14"</f>
        <v>14</v>
      </c>
      <c r="H2745" s="1" t="str">
        <f>"Результат"</f>
        <v>Результат</v>
      </c>
      <c r="I2745" s="1" t="str">
        <f>"Позитивний"</f>
        <v>Позитивний</v>
      </c>
      <c r="J2745" s="1" t="str">
        <f>"Ні"</f>
        <v>Ні</v>
      </c>
    </row>
    <row r="2746" spans="1:10" ht="45" x14ac:dyDescent="0.25">
      <c r="A2746" s="1" t="str">
        <f>"2749-2020/27"</f>
        <v>2749-2020/27</v>
      </c>
      <c r="B2746" s="1" t="str">
        <f t="shared" si="470"/>
        <v>03.06.2020</v>
      </c>
      <c r="C2746" s="1" t="str">
        <f t="shared" si="469"/>
        <v>Закрито</v>
      </c>
      <c r="D2746" s="1" t="str">
        <f>"Реєстрація місця проживання особи"</f>
        <v>Реєстрація місця проживання особи</v>
      </c>
      <c r="E2746" s="1" t="str">
        <f>"Реєстрація місця проживання"</f>
        <v>Реєстрація місця проживання</v>
      </c>
      <c r="F2746" s="1" t="str">
        <f>"Відділ реєстрації Новокаховської міської ради"</f>
        <v>Відділ реєстрації Новокаховської міської ради</v>
      </c>
      <c r="G2746" s="1" t="str">
        <f>"1"</f>
        <v>1</v>
      </c>
      <c r="H2746" s="1" t="str">
        <f>"Результат"</f>
        <v>Результат</v>
      </c>
      <c r="I2746" s="1" t="str">
        <f>"Позитивний"</f>
        <v>Позитивний</v>
      </c>
      <c r="J2746" s="1" t="str">
        <f>"Так"</f>
        <v>Так</v>
      </c>
    </row>
    <row r="2747" spans="1:10" ht="135" x14ac:dyDescent="0.25">
      <c r="A2747" s="1" t="str">
        <f>"2773-2020/27"</f>
        <v>2773-2020/27</v>
      </c>
      <c r="B2747" s="1" t="str">
        <f t="shared" si="470"/>
        <v>03.06.2020</v>
      </c>
      <c r="C2747" s="1" t="str">
        <f t="shared" si="469"/>
        <v>Закрито</v>
      </c>
      <c r="D274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47" s="1" t="str">
        <f>"Земельні питання"</f>
        <v>Земельні питання</v>
      </c>
      <c r="F27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47" s="1" t="str">
        <f>"1"</f>
        <v>1</v>
      </c>
      <c r="H2747" s="1" t="str">
        <f>"Результат"</f>
        <v>Результат</v>
      </c>
      <c r="I2747" s="1" t="str">
        <f>"Позитивний"</f>
        <v>Позитивний</v>
      </c>
      <c r="J2747" s="1" t="str">
        <f>"Так"</f>
        <v>Так</v>
      </c>
    </row>
    <row r="2748" spans="1:10" ht="225" x14ac:dyDescent="0.25">
      <c r="A2748" s="1" t="str">
        <f>"2791-2020/27"</f>
        <v>2791-2020/27</v>
      </c>
      <c r="B2748" s="1" t="str">
        <f t="shared" ref="B2748:B2781" si="472">"04.06.2020"</f>
        <v>04.06.2020</v>
      </c>
      <c r="C2748" s="1" t="str">
        <f>"На обробці в адмін. органі"</f>
        <v>На обробці в адмін. органі</v>
      </c>
      <c r="D2748" s="1" t="s">
        <v>2</v>
      </c>
      <c r="E2748" s="1" t="str">
        <f>"Будівництво"</f>
        <v>Будівництво</v>
      </c>
      <c r="F274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48" s="1" t="str">
        <f>"30"</f>
        <v>30</v>
      </c>
      <c r="H2748" s="1" t="str">
        <f>""</f>
        <v/>
      </c>
      <c r="I2748" s="1" t="str">
        <f>""</f>
        <v/>
      </c>
      <c r="J2748" s="1" t="str">
        <f>"Ні"</f>
        <v>Ні</v>
      </c>
    </row>
    <row r="2749" spans="1:10" ht="45" x14ac:dyDescent="0.25">
      <c r="A2749" s="1" t="str">
        <f>"2777-2020/27"</f>
        <v>2777-2020/27</v>
      </c>
      <c r="B2749" s="1" t="str">
        <f t="shared" si="472"/>
        <v>04.06.2020</v>
      </c>
      <c r="C2749" s="1" t="str">
        <f>"Закрито"</f>
        <v>Закрито</v>
      </c>
      <c r="D2749" s="1" t="str">
        <f>"Реєстрація місця проживання особи"</f>
        <v>Реєстрація місця проживання особи</v>
      </c>
      <c r="E2749" s="1" t="str">
        <f>"Реєстрація місця проживання"</f>
        <v>Реєстрація місця проживання</v>
      </c>
      <c r="F2749" s="1" t="str">
        <f>"Відділ реєстрації Новокаховської міської ради"</f>
        <v>Відділ реєстрації Новокаховської міської ради</v>
      </c>
      <c r="G2749" s="1" t="str">
        <f>"1"</f>
        <v>1</v>
      </c>
      <c r="H2749" s="1" t="str">
        <f>"Результат"</f>
        <v>Результат</v>
      </c>
      <c r="I2749" s="1" t="str">
        <f>"Позитивний"</f>
        <v>Позитивний</v>
      </c>
      <c r="J2749" s="1" t="str">
        <f>"Так"</f>
        <v>Так</v>
      </c>
    </row>
    <row r="2750" spans="1:10" ht="135" x14ac:dyDescent="0.25">
      <c r="A2750" s="1" t="str">
        <f>"2809-2020/27"</f>
        <v>2809-2020/27</v>
      </c>
      <c r="B2750" s="1" t="str">
        <f t="shared" si="472"/>
        <v>04.06.2020</v>
      </c>
      <c r="C2750" s="1" t="str">
        <f>"Закрито"</f>
        <v>Закрито</v>
      </c>
      <c r="D275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50" s="1" t="str">
        <f>"Земельні питання"</f>
        <v>Земельні питання</v>
      </c>
      <c r="F27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50" s="1" t="str">
        <f>"1"</f>
        <v>1</v>
      </c>
      <c r="H2750" s="1" t="str">
        <f>"Результат"</f>
        <v>Результат</v>
      </c>
      <c r="I2750" s="1" t="str">
        <f>"Позитивний"</f>
        <v>Позитивний</v>
      </c>
      <c r="J2750" s="1" t="str">
        <f>"Так"</f>
        <v>Так</v>
      </c>
    </row>
    <row r="2751" spans="1:10" ht="225" x14ac:dyDescent="0.25">
      <c r="A2751" s="1" t="str">
        <f>"2792-2020/27"</f>
        <v>2792-2020/27</v>
      </c>
      <c r="B2751" s="1" t="str">
        <f t="shared" si="472"/>
        <v>04.06.2020</v>
      </c>
      <c r="C2751" s="1" t="str">
        <f>"На обробці в адмін. органі"</f>
        <v>На обробці в адмін. органі</v>
      </c>
      <c r="D2751" s="1" t="s">
        <v>2</v>
      </c>
      <c r="E2751" s="1" t="str">
        <f>"Будівництво"</f>
        <v>Будівництво</v>
      </c>
      <c r="F275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51" s="1" t="str">
        <f>"30"</f>
        <v>30</v>
      </c>
      <c r="H2751" s="1" t="str">
        <f>""</f>
        <v/>
      </c>
      <c r="I2751" s="1" t="str">
        <f>""</f>
        <v/>
      </c>
      <c r="J2751" s="1" t="str">
        <f>"Ні"</f>
        <v>Ні</v>
      </c>
    </row>
    <row r="2752" spans="1:10" ht="135" x14ac:dyDescent="0.25">
      <c r="A2752" s="1" t="str">
        <f>"2804-2020/27"</f>
        <v>2804-2020/27</v>
      </c>
      <c r="B2752" s="1" t="str">
        <f t="shared" si="472"/>
        <v>04.06.2020</v>
      </c>
      <c r="C2752" s="1" t="str">
        <f>"Закрито"</f>
        <v>Закрито</v>
      </c>
      <c r="D27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52" s="1" t="str">
        <f>"Реєстрація місця проживання"</f>
        <v>Реєстрація місця проживання</v>
      </c>
      <c r="F27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52" s="1" t="str">
        <f>"1"</f>
        <v>1</v>
      </c>
      <c r="H2752" s="1" t="str">
        <f>"Результат"</f>
        <v>Результат</v>
      </c>
      <c r="I2752" s="1" t="str">
        <f>"Позитивний"</f>
        <v>Позитивний</v>
      </c>
      <c r="J2752" s="1" t="str">
        <f>"Так"</f>
        <v>Так</v>
      </c>
    </row>
    <row r="2753" spans="1:10" ht="225" x14ac:dyDescent="0.25">
      <c r="A2753" s="1" t="str">
        <f>"2793-2020/27"</f>
        <v>2793-2020/27</v>
      </c>
      <c r="B2753" s="1" t="str">
        <f t="shared" si="472"/>
        <v>04.06.2020</v>
      </c>
      <c r="C2753" s="1" t="str">
        <f>"На обробці в адмін. органі"</f>
        <v>На обробці в адмін. органі</v>
      </c>
      <c r="D2753" s="1" t="s">
        <v>2</v>
      </c>
      <c r="E2753" s="1" t="str">
        <f>"Будівництво"</f>
        <v>Будівництво</v>
      </c>
      <c r="F275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53" s="1" t="str">
        <f>"30"</f>
        <v>30</v>
      </c>
      <c r="H2753" s="1" t="str">
        <f>""</f>
        <v/>
      </c>
      <c r="I2753" s="1" t="str">
        <f>""</f>
        <v/>
      </c>
      <c r="J2753" s="1" t="str">
        <f>"Ні"</f>
        <v>Ні</v>
      </c>
    </row>
    <row r="2754" spans="1:10" ht="135" x14ac:dyDescent="0.25">
      <c r="A2754" s="1" t="str">
        <f>"2803-2020/27"</f>
        <v>2803-2020/27</v>
      </c>
      <c r="B2754" s="1" t="str">
        <f t="shared" si="472"/>
        <v>04.06.2020</v>
      </c>
      <c r="C2754" s="1" t="str">
        <f>"Закрито"</f>
        <v>Закрито</v>
      </c>
      <c r="D275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54" s="1" t="str">
        <f>"Земельні питання"</f>
        <v>Земельні питання</v>
      </c>
      <c r="F27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54" s="1" t="str">
        <f>"14"</f>
        <v>14</v>
      </c>
      <c r="H2754" s="1" t="str">
        <f>"Результат"</f>
        <v>Результат</v>
      </c>
      <c r="I2754" s="1" t="str">
        <f>"Позитивний"</f>
        <v>Позитивний</v>
      </c>
      <c r="J2754" s="1" t="str">
        <f>"Ні"</f>
        <v>Ні</v>
      </c>
    </row>
    <row r="2755" spans="1:10" ht="225" x14ac:dyDescent="0.25">
      <c r="A2755" s="1" t="str">
        <f>"2808-2020/27"</f>
        <v>2808-2020/27</v>
      </c>
      <c r="B2755" s="1" t="str">
        <f t="shared" si="472"/>
        <v>04.06.2020</v>
      </c>
      <c r="C2755" s="1" t="str">
        <f t="shared" ref="C2755:C2807" si="473">"Закрито"</f>
        <v>Закрито</v>
      </c>
      <c r="D2755" s="1" t="s">
        <v>1</v>
      </c>
      <c r="E2755" s="1" t="str">
        <f>"Будівництво"</f>
        <v>Будівництво</v>
      </c>
      <c r="F275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55" s="1" t="str">
        <f>"30"</f>
        <v>30</v>
      </c>
      <c r="H2755" s="1" t="str">
        <f>"Результат"</f>
        <v>Результат</v>
      </c>
      <c r="I2755" s="1" t="str">
        <f>"Позитивний"</f>
        <v>Позитивний</v>
      </c>
      <c r="J2755" s="1" t="str">
        <f>"Ні"</f>
        <v>Ні</v>
      </c>
    </row>
    <row r="2756" spans="1:10" ht="135" x14ac:dyDescent="0.25">
      <c r="A2756" s="1" t="str">
        <f>"2795-2020/27"</f>
        <v>2795-2020/27</v>
      </c>
      <c r="B2756" s="1" t="str">
        <f t="shared" si="472"/>
        <v>04.06.2020</v>
      </c>
      <c r="C2756" s="1" t="str">
        <f t="shared" si="473"/>
        <v>Закрито</v>
      </c>
      <c r="D275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56" s="1" t="str">
        <f>"Земельні питання"</f>
        <v>Земельні питання</v>
      </c>
      <c r="F27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56" s="1" t="str">
        <f>"3"</f>
        <v>3</v>
      </c>
      <c r="H2756" s="1" t="str">
        <f>"Результат"</f>
        <v>Результат</v>
      </c>
      <c r="I2756" s="1" t="str">
        <f>"Позитивний"</f>
        <v>Позитивний</v>
      </c>
      <c r="J2756" s="1" t="str">
        <f>"Ні"</f>
        <v>Ні</v>
      </c>
    </row>
    <row r="2757" spans="1:10" ht="135" x14ac:dyDescent="0.25">
      <c r="A2757" s="1" t="str">
        <f>"2800-2020/27"</f>
        <v>2800-2020/27</v>
      </c>
      <c r="B2757" s="1" t="str">
        <f t="shared" si="472"/>
        <v>04.06.2020</v>
      </c>
      <c r="C2757" s="1" t="str">
        <f t="shared" si="473"/>
        <v>Закрито</v>
      </c>
      <c r="D27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57" s="1" t="str">
        <f>"Земельні питання"</f>
        <v>Земельні питання</v>
      </c>
      <c r="F27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57" s="1" t="str">
        <f>"1"</f>
        <v>1</v>
      </c>
      <c r="H2757" s="1" t="str">
        <f>"Результат"</f>
        <v>Результат</v>
      </c>
      <c r="I2757" s="1" t="str">
        <f>"Позитивний"</f>
        <v>Позитивний</v>
      </c>
      <c r="J2757" s="1" t="str">
        <f>"Так"</f>
        <v>Так</v>
      </c>
    </row>
    <row r="2758" spans="1:10" ht="135" x14ac:dyDescent="0.25">
      <c r="A2758" s="1" t="str">
        <f>"2784-2020/27"</f>
        <v>2784-2020/27</v>
      </c>
      <c r="B2758" s="1" t="str">
        <f t="shared" si="472"/>
        <v>04.06.2020</v>
      </c>
      <c r="C2758" s="1" t="str">
        <f t="shared" si="473"/>
        <v>Закрито</v>
      </c>
      <c r="D275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58" s="1" t="str">
        <f>"Земельні питання"</f>
        <v>Земельні питання</v>
      </c>
      <c r="F27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58" s="1" t="str">
        <f>"3"</f>
        <v>3</v>
      </c>
      <c r="H2758" s="1" t="str">
        <f>"Результат"</f>
        <v>Результат</v>
      </c>
      <c r="I2758" s="1" t="str">
        <f>"Позитивний"</f>
        <v>Позитивний</v>
      </c>
      <c r="J2758" s="1" t="str">
        <f>"Ні"</f>
        <v>Ні</v>
      </c>
    </row>
    <row r="2759" spans="1:10" ht="135" x14ac:dyDescent="0.25">
      <c r="A2759" s="1" t="str">
        <f>"2785-2020/27"</f>
        <v>2785-2020/27</v>
      </c>
      <c r="B2759" s="1" t="str">
        <f t="shared" si="472"/>
        <v>04.06.2020</v>
      </c>
      <c r="C2759" s="1" t="str">
        <f t="shared" si="473"/>
        <v>Закрито</v>
      </c>
      <c r="D2759" s="1" t="str">
        <f>"Надання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(плану)"</f>
        <v>Надання відомостей з Державного земельного кадастру у формі викопіювань з картографічної основи Державного земельного кадастру, кадастрової карти (плану)</v>
      </c>
      <c r="E2759" s="1" t="str">
        <f>"Земельні питання"</f>
        <v>Земельні питання</v>
      </c>
      <c r="F27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59" s="1" t="str">
        <f>"3"</f>
        <v>3</v>
      </c>
      <c r="H2759" s="1" t="str">
        <f>"Результат"</f>
        <v>Результат</v>
      </c>
      <c r="I2759" s="1" t="str">
        <f>"Позитивний"</f>
        <v>Позитивний</v>
      </c>
      <c r="J2759" s="1" t="str">
        <f>"Так"</f>
        <v>Так</v>
      </c>
    </row>
    <row r="2760" spans="1:10" ht="135" x14ac:dyDescent="0.25">
      <c r="A2760" s="1" t="str">
        <f>"2806-2020/27"</f>
        <v>2806-2020/27</v>
      </c>
      <c r="B2760" s="1" t="str">
        <f t="shared" si="472"/>
        <v>04.06.2020</v>
      </c>
      <c r="C2760" s="1" t="str">
        <f t="shared" si="473"/>
        <v>Закрито</v>
      </c>
      <c r="D27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60" s="1" t="str">
        <f>"Земельні питання"</f>
        <v>Земельні питання</v>
      </c>
      <c r="F27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60" s="1" t="str">
        <f>"1"</f>
        <v>1</v>
      </c>
      <c r="H2760" s="1" t="str">
        <f>"Результат"</f>
        <v>Результат</v>
      </c>
      <c r="I2760" s="1" t="str">
        <f>"Позитивний"</f>
        <v>Позитивний</v>
      </c>
      <c r="J2760" s="1" t="str">
        <f>"Так"</f>
        <v>Так</v>
      </c>
    </row>
    <row r="2761" spans="1:10" ht="45" x14ac:dyDescent="0.25">
      <c r="A2761" s="1" t="str">
        <f>"2798-2020/27"</f>
        <v>2798-2020/27</v>
      </c>
      <c r="B2761" s="1" t="str">
        <f t="shared" si="472"/>
        <v>04.06.2020</v>
      </c>
      <c r="C2761" s="1" t="str">
        <f t="shared" si="473"/>
        <v>Закрито</v>
      </c>
      <c r="D2761" s="1" t="str">
        <f>"Зняття з реєстрації місця проживання"</f>
        <v>Зняття з реєстрації місця проживання</v>
      </c>
      <c r="E2761" s="1" t="str">
        <f>"Реєстрація місця проживання"</f>
        <v>Реєстрація місця проживання</v>
      </c>
      <c r="F2761" s="1" t="str">
        <f>"Відділ реєстрації Новокаховської міської ради"</f>
        <v>Відділ реєстрації Новокаховської міської ради</v>
      </c>
      <c r="G2761" s="1" t="str">
        <f>"1"</f>
        <v>1</v>
      </c>
      <c r="H2761" s="1" t="str">
        <f>"Результат"</f>
        <v>Результат</v>
      </c>
      <c r="I2761" s="1" t="str">
        <f>"Позитивний"</f>
        <v>Позитивний</v>
      </c>
      <c r="J2761" s="1" t="str">
        <f>"Так"</f>
        <v>Так</v>
      </c>
    </row>
    <row r="2762" spans="1:10" ht="120" x14ac:dyDescent="0.25">
      <c r="A2762" s="1" t="str">
        <f>"2790-2020/27"</f>
        <v>2790-2020/27</v>
      </c>
      <c r="B2762" s="1" t="str">
        <f t="shared" si="472"/>
        <v>04.06.2020</v>
      </c>
      <c r="C2762" s="1" t="str">
        <f t="shared" si="473"/>
        <v>Закрито</v>
      </c>
      <c r="D2762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762" s="1" t="str">
        <f>"Будівництво"</f>
        <v>Будівництво</v>
      </c>
      <c r="F276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62" s="1" t="str">
        <f>"10"</f>
        <v>10</v>
      </c>
      <c r="H2762" s="1" t="str">
        <f>"Результат"</f>
        <v>Результат</v>
      </c>
      <c r="I2762" s="1" t="str">
        <f>"Позитивний"</f>
        <v>Позитивний</v>
      </c>
      <c r="J2762" s="1" t="str">
        <f>"Ні"</f>
        <v>Ні</v>
      </c>
    </row>
    <row r="2763" spans="1:10" ht="90" x14ac:dyDescent="0.25">
      <c r="A2763" s="1" t="str">
        <f>"тест0406"</f>
        <v>тест0406</v>
      </c>
      <c r="B2763" s="1" t="str">
        <f t="shared" si="472"/>
        <v>04.06.2020</v>
      </c>
      <c r="C2763" s="1" t="str">
        <f t="shared" si="473"/>
        <v>Закрито</v>
      </c>
      <c r="D2763" s="1" t="str">
        <f>"Видача дубліката дозволу на виконання будівельних робіт (що був виданий до 10 червня 2017 року)"</f>
        <v>Видача дубліката дозволу на виконання будівельних робіт (що був виданий до 10 червня 2017 року)</v>
      </c>
      <c r="E2763" s="1" t="str">
        <f>"Будівництво"</f>
        <v>Будівництво</v>
      </c>
      <c r="F276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63" s="1" t="str">
        <f>"10"</f>
        <v>10</v>
      </c>
      <c r="H2763" s="1" t="str">
        <f>"Результат"</f>
        <v>Результат</v>
      </c>
      <c r="I2763" s="1" t="str">
        <f>"Позитивний"</f>
        <v>Позитивний</v>
      </c>
      <c r="J2763" s="1" t="str">
        <f>"Ні"</f>
        <v>Ні</v>
      </c>
    </row>
    <row r="2764" spans="1:10" ht="135" x14ac:dyDescent="0.25">
      <c r="A2764" s="1" t="str">
        <f>"2805-2020/27"</f>
        <v>2805-2020/27</v>
      </c>
      <c r="B2764" s="1" t="str">
        <f t="shared" si="472"/>
        <v>04.06.2020</v>
      </c>
      <c r="C2764" s="1" t="str">
        <f t="shared" si="473"/>
        <v>Закрито</v>
      </c>
      <c r="D276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64" s="1" t="str">
        <f>"Земельні питання"</f>
        <v>Земельні питання</v>
      </c>
      <c r="F27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64" s="1" t="str">
        <f>"1"</f>
        <v>1</v>
      </c>
      <c r="H2764" s="1" t="str">
        <f>"Результат"</f>
        <v>Результат</v>
      </c>
      <c r="I2764" s="1" t="str">
        <f>"Позитивний"</f>
        <v>Позитивний</v>
      </c>
      <c r="J2764" s="1" t="str">
        <f>"Так"</f>
        <v>Так</v>
      </c>
    </row>
    <row r="2765" spans="1:10" ht="135" x14ac:dyDescent="0.25">
      <c r="A2765" s="1" t="str">
        <f>"2794-2020/27"</f>
        <v>2794-2020/27</v>
      </c>
      <c r="B2765" s="1" t="str">
        <f t="shared" si="472"/>
        <v>04.06.2020</v>
      </c>
      <c r="C2765" s="1" t="str">
        <f t="shared" si="473"/>
        <v>Закрито</v>
      </c>
      <c r="D276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65" s="1" t="str">
        <f>"Земельні питання"</f>
        <v>Земельні питання</v>
      </c>
      <c r="F27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65" s="1" t="str">
        <f>"3"</f>
        <v>3</v>
      </c>
      <c r="H2765" s="1" t="str">
        <f>"Результат"</f>
        <v>Результат</v>
      </c>
      <c r="I2765" s="1" t="str">
        <f>"Позитивний"</f>
        <v>Позитивний</v>
      </c>
      <c r="J2765" s="1" t="str">
        <f t="shared" ref="J2765:J2770" si="474">"Ні"</f>
        <v>Ні</v>
      </c>
    </row>
    <row r="2766" spans="1:10" ht="135" x14ac:dyDescent="0.25">
      <c r="A2766" s="1" t="str">
        <f>"2778-2020/27"</f>
        <v>2778-2020/27</v>
      </c>
      <c r="B2766" s="1" t="str">
        <f t="shared" si="472"/>
        <v>04.06.2020</v>
      </c>
      <c r="C2766" s="1" t="str">
        <f t="shared" si="473"/>
        <v>Закрито</v>
      </c>
      <c r="D276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66" s="1" t="str">
        <f>"Земельні питання"</f>
        <v>Земельні питання</v>
      </c>
      <c r="F27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66" s="1" t="str">
        <f>"3"</f>
        <v>3</v>
      </c>
      <c r="H2766" s="1" t="str">
        <f>"Результат"</f>
        <v>Результат</v>
      </c>
      <c r="I2766" s="1" t="str">
        <f>"Позитивний"</f>
        <v>Позитивний</v>
      </c>
      <c r="J2766" s="1" t="str">
        <f t="shared" si="474"/>
        <v>Ні</v>
      </c>
    </row>
    <row r="2767" spans="1:10" ht="90" x14ac:dyDescent="0.25">
      <c r="A2767" s="1" t="str">
        <f>"2801-2020/27"</f>
        <v>2801-2020/27</v>
      </c>
      <c r="B2767" s="1" t="str">
        <f t="shared" si="472"/>
        <v>04.06.2020</v>
      </c>
      <c r="C2767" s="1" t="str">
        <f t="shared" si="473"/>
        <v>Закрито</v>
      </c>
      <c r="D276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67" s="1" t="str">
        <f>"Інші послуги"</f>
        <v>Інші послуги</v>
      </c>
      <c r="F276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67" s="1" t="str">
        <f>"5"</f>
        <v>5</v>
      </c>
      <c r="H2767" s="1" t="str">
        <f>"Результат"</f>
        <v>Результат</v>
      </c>
      <c r="I2767" s="1" t="str">
        <f>"Позитивний"</f>
        <v>Позитивний</v>
      </c>
      <c r="J2767" s="1" t="str">
        <f t="shared" si="474"/>
        <v>Ні</v>
      </c>
    </row>
    <row r="2768" spans="1:10" ht="135" x14ac:dyDescent="0.25">
      <c r="A2768" s="1" t="str">
        <f>"2788-2020/27"</f>
        <v>2788-2020/27</v>
      </c>
      <c r="B2768" s="1" t="str">
        <f t="shared" si="472"/>
        <v>04.06.2020</v>
      </c>
      <c r="C2768" s="1" t="str">
        <f t="shared" si="473"/>
        <v>Закрито</v>
      </c>
      <c r="D276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68" s="1" t="str">
        <f>"Земельні питання"</f>
        <v>Земельні питання</v>
      </c>
      <c r="F27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68" s="1" t="str">
        <f>"14"</f>
        <v>14</v>
      </c>
      <c r="H2768" s="1" t="str">
        <f>"Результат"</f>
        <v>Результат</v>
      </c>
      <c r="I2768" s="1" t="str">
        <f>"Позитивний"</f>
        <v>Позитивний</v>
      </c>
      <c r="J2768" s="1" t="str">
        <f t="shared" si="474"/>
        <v>Ні</v>
      </c>
    </row>
    <row r="2769" spans="1:10" ht="90" x14ac:dyDescent="0.25">
      <c r="A2769" s="1" t="str">
        <f>"2799-2020/27"</f>
        <v>2799-2020/27</v>
      </c>
      <c r="B2769" s="1" t="str">
        <f t="shared" si="472"/>
        <v>04.06.2020</v>
      </c>
      <c r="C2769" s="1" t="str">
        <f t="shared" si="473"/>
        <v>Закрито</v>
      </c>
      <c r="D276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69" s="1" t="str">
        <f>"Інші послуги"</f>
        <v>Інші послуги</v>
      </c>
      <c r="F276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69" s="1" t="str">
        <f>"5"</f>
        <v>5</v>
      </c>
      <c r="H2769" s="1" t="str">
        <f>"Результат"</f>
        <v>Результат</v>
      </c>
      <c r="I2769" s="1" t="str">
        <f>"Позитивний"</f>
        <v>Позитивний</v>
      </c>
      <c r="J2769" s="1" t="str">
        <f t="shared" si="474"/>
        <v>Ні</v>
      </c>
    </row>
    <row r="2770" spans="1:10" ht="90" x14ac:dyDescent="0.25">
      <c r="A2770" s="1" t="str">
        <f>"2780-2020/27"</f>
        <v>2780-2020/27</v>
      </c>
      <c r="B2770" s="1" t="str">
        <f t="shared" si="472"/>
        <v>04.06.2020</v>
      </c>
      <c r="C2770" s="1" t="str">
        <f t="shared" si="473"/>
        <v>Закрито</v>
      </c>
      <c r="D277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70" s="1" t="str">
        <f>"Інші послуги"</f>
        <v>Інші послуги</v>
      </c>
      <c r="F277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70" s="1" t="str">
        <f>"5"</f>
        <v>5</v>
      </c>
      <c r="H2770" s="1" t="str">
        <f>"Результат"</f>
        <v>Результат</v>
      </c>
      <c r="I2770" s="1" t="str">
        <f>"Позитивний"</f>
        <v>Позитивний</v>
      </c>
      <c r="J2770" s="1" t="str">
        <f t="shared" si="474"/>
        <v>Ні</v>
      </c>
    </row>
    <row r="2771" spans="1:10" ht="135" x14ac:dyDescent="0.25">
      <c r="A2771" s="1" t="str">
        <f>"2807-2020/27"</f>
        <v>2807-2020/27</v>
      </c>
      <c r="B2771" s="1" t="str">
        <f t="shared" si="472"/>
        <v>04.06.2020</v>
      </c>
      <c r="C2771" s="1" t="str">
        <f t="shared" si="473"/>
        <v>Закрито</v>
      </c>
      <c r="D27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71" s="1" t="str">
        <f>"Земельні питання"</f>
        <v>Земельні питання</v>
      </c>
      <c r="F27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71" s="1" t="str">
        <f>"1"</f>
        <v>1</v>
      </c>
      <c r="H2771" s="1" t="str">
        <f>"Результат"</f>
        <v>Результат</v>
      </c>
      <c r="I2771" s="1" t="str">
        <f>"Позитивний"</f>
        <v>Позитивний</v>
      </c>
      <c r="J2771" s="1" t="str">
        <f>"Так"</f>
        <v>Так</v>
      </c>
    </row>
    <row r="2772" spans="1:10" ht="90" x14ac:dyDescent="0.25">
      <c r="A2772" s="1" t="str">
        <f>"2781-2020/27"</f>
        <v>2781-2020/27</v>
      </c>
      <c r="B2772" s="1" t="str">
        <f t="shared" si="472"/>
        <v>04.06.2020</v>
      </c>
      <c r="C2772" s="1" t="str">
        <f t="shared" si="473"/>
        <v>Закрито</v>
      </c>
      <c r="D277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72" s="1" t="str">
        <f>"Інші послуги"</f>
        <v>Інші послуги</v>
      </c>
      <c r="F277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72" s="1" t="str">
        <f>"5"</f>
        <v>5</v>
      </c>
      <c r="H2772" s="1" t="str">
        <f>"Результат"</f>
        <v>Результат</v>
      </c>
      <c r="I2772" s="1" t="str">
        <f>"Позитивний"</f>
        <v>Позитивний</v>
      </c>
      <c r="J2772" s="1" t="str">
        <f>"Ні"</f>
        <v>Ні</v>
      </c>
    </row>
    <row r="2773" spans="1:10" ht="225" x14ac:dyDescent="0.25">
      <c r="A2773" s="1" t="str">
        <f>"2789-2020/27"</f>
        <v>2789-2020/27</v>
      </c>
      <c r="B2773" s="1" t="str">
        <f t="shared" si="472"/>
        <v>04.06.2020</v>
      </c>
      <c r="C2773" s="1" t="str">
        <f t="shared" si="473"/>
        <v>Закрито</v>
      </c>
      <c r="D2773" s="1" t="s">
        <v>2</v>
      </c>
      <c r="E2773" s="1" t="str">
        <f>"Будівництво"</f>
        <v>Будівництво</v>
      </c>
      <c r="F277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73" s="1" t="str">
        <f>"30"</f>
        <v>30</v>
      </c>
      <c r="H2773" s="1" t="str">
        <f>"Результат"</f>
        <v>Результат</v>
      </c>
      <c r="I2773" s="1" t="str">
        <f>"Позитивний"</f>
        <v>Позитивний</v>
      </c>
      <c r="J2773" s="1" t="str">
        <f>"Ні"</f>
        <v>Ні</v>
      </c>
    </row>
    <row r="2774" spans="1:10" ht="45" x14ac:dyDescent="0.25">
      <c r="A2774" s="1" t="str">
        <f>"2779-2020/27"</f>
        <v>2779-2020/27</v>
      </c>
      <c r="B2774" s="1" t="str">
        <f t="shared" si="472"/>
        <v>04.06.2020</v>
      </c>
      <c r="C2774" s="1" t="str">
        <f t="shared" si="473"/>
        <v>Закрито</v>
      </c>
      <c r="D2774" s="1" t="str">
        <f>"Зняття з реєстрації місця проживання"</f>
        <v>Зняття з реєстрації місця проживання</v>
      </c>
      <c r="E2774" s="1" t="str">
        <f>"Реєстрація місця проживання"</f>
        <v>Реєстрація місця проживання</v>
      </c>
      <c r="F2774" s="1" t="str">
        <f>"Відділ реєстрації Новокаховської міської ради"</f>
        <v>Відділ реєстрації Новокаховської міської ради</v>
      </c>
      <c r="G2774" s="1" t="str">
        <f>"1"</f>
        <v>1</v>
      </c>
      <c r="H2774" s="1" t="str">
        <f>"Результат"</f>
        <v>Результат</v>
      </c>
      <c r="I2774" s="1" t="str">
        <f>"Позитивний"</f>
        <v>Позитивний</v>
      </c>
      <c r="J2774" s="1" t="str">
        <f>"Так"</f>
        <v>Так</v>
      </c>
    </row>
    <row r="2775" spans="1:10" ht="135" x14ac:dyDescent="0.25">
      <c r="A2775" s="1" t="str">
        <f>"2796-2020/27"</f>
        <v>2796-2020/27</v>
      </c>
      <c r="B2775" s="1" t="str">
        <f t="shared" si="472"/>
        <v>04.06.2020</v>
      </c>
      <c r="C2775" s="1" t="str">
        <f t="shared" si="473"/>
        <v>Закрито</v>
      </c>
      <c r="D2775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775" s="1" t="str">
        <f>"Земельні питання"</f>
        <v>Земельні питання</v>
      </c>
      <c r="F277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75" s="1" t="str">
        <f>"14"</f>
        <v>14</v>
      </c>
      <c r="H2775" s="1" t="str">
        <f>"Результат"</f>
        <v>Результат</v>
      </c>
      <c r="I2775" s="1" t="str">
        <f>"Позитивний"</f>
        <v>Позитивний</v>
      </c>
      <c r="J2775" s="1" t="str">
        <f>"Ні"</f>
        <v>Ні</v>
      </c>
    </row>
    <row r="2776" spans="1:10" ht="135" x14ac:dyDescent="0.25">
      <c r="A2776" s="1" t="str">
        <f>"2787-2020/27"</f>
        <v>2787-2020/27</v>
      </c>
      <c r="B2776" s="1" t="str">
        <f t="shared" si="472"/>
        <v>04.06.2020</v>
      </c>
      <c r="C2776" s="1" t="str">
        <f t="shared" si="473"/>
        <v>Закрито</v>
      </c>
      <c r="D277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76" s="1" t="str">
        <f>"Земельні питання"</f>
        <v>Земельні питання</v>
      </c>
      <c r="F27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76" s="1" t="str">
        <f>"1"</f>
        <v>1</v>
      </c>
      <c r="H2776" s="1" t="str">
        <f>"Результат"</f>
        <v>Результат</v>
      </c>
      <c r="I2776" s="1" t="str">
        <f>"Позитивний"</f>
        <v>Позитивний</v>
      </c>
      <c r="J2776" s="1" t="str">
        <f>"Так"</f>
        <v>Так</v>
      </c>
    </row>
    <row r="2777" spans="1:10" ht="135" x14ac:dyDescent="0.25">
      <c r="A2777" s="1" t="str">
        <f>"2797-2020/27"</f>
        <v>2797-2020/27</v>
      </c>
      <c r="B2777" s="1" t="str">
        <f t="shared" si="472"/>
        <v>04.06.2020</v>
      </c>
      <c r="C2777" s="1" t="str">
        <f t="shared" si="473"/>
        <v>Закрито</v>
      </c>
      <c r="D2777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777" s="1" t="str">
        <f>"Земельні питання"</f>
        <v>Земельні питання</v>
      </c>
      <c r="F27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77" s="1" t="str">
        <f>"14"</f>
        <v>14</v>
      </c>
      <c r="H2777" s="1" t="str">
        <f>"Результат"</f>
        <v>Результат</v>
      </c>
      <c r="I2777" s="1" t="str">
        <f>"Позитивний"</f>
        <v>Позитивний</v>
      </c>
      <c r="J2777" s="1" t="str">
        <f>"Ні"</f>
        <v>Ні</v>
      </c>
    </row>
    <row r="2778" spans="1:10" ht="135" x14ac:dyDescent="0.25">
      <c r="A2778" s="1" t="str">
        <f>"2782-2020/27"</f>
        <v>2782-2020/27</v>
      </c>
      <c r="B2778" s="1" t="str">
        <f t="shared" si="472"/>
        <v>04.06.2020</v>
      </c>
      <c r="C2778" s="1" t="str">
        <f t="shared" si="473"/>
        <v>Закрито</v>
      </c>
      <c r="D277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78" s="1" t="str">
        <f>"Земельні питання"</f>
        <v>Земельні питання</v>
      </c>
      <c r="F27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78" s="1" t="str">
        <f>"3"</f>
        <v>3</v>
      </c>
      <c r="H2778" s="1" t="str">
        <f>"Результат"</f>
        <v>Результат</v>
      </c>
      <c r="I2778" s="1" t="str">
        <f>"Позитивний"</f>
        <v>Позитивний</v>
      </c>
      <c r="J2778" s="1" t="str">
        <f>"Так"</f>
        <v>Так</v>
      </c>
    </row>
    <row r="2779" spans="1:10" ht="45" x14ac:dyDescent="0.25">
      <c r="A2779" s="1" t="str">
        <f>"2802-2020/27"</f>
        <v>2802-2020/27</v>
      </c>
      <c r="B2779" s="1" t="str">
        <f t="shared" si="472"/>
        <v>04.06.2020</v>
      </c>
      <c r="C2779" s="1" t="str">
        <f t="shared" si="473"/>
        <v>Закрито</v>
      </c>
      <c r="D2779" s="1" t="str">
        <f>"Зняття з реєстрації місця проживання"</f>
        <v>Зняття з реєстрації місця проживання</v>
      </c>
      <c r="E2779" s="1" t="str">
        <f>"Реєстрація місця проживання"</f>
        <v>Реєстрація місця проживання</v>
      </c>
      <c r="F2779" s="1" t="str">
        <f>"Відділ реєстрації Новокаховської міської ради"</f>
        <v>Відділ реєстрації Новокаховської міської ради</v>
      </c>
      <c r="G2779" s="1" t="str">
        <f>"1"</f>
        <v>1</v>
      </c>
      <c r="H2779" s="1" t="str">
        <f>"Результат"</f>
        <v>Результат</v>
      </c>
      <c r="I2779" s="1" t="str">
        <f>"Позитивний"</f>
        <v>Позитивний</v>
      </c>
      <c r="J2779" s="1" t="str">
        <f>"Так"</f>
        <v>Так</v>
      </c>
    </row>
    <row r="2780" spans="1:10" ht="135" x14ac:dyDescent="0.25">
      <c r="A2780" s="1" t="str">
        <f>"2783-2020/27"</f>
        <v>2783-2020/27</v>
      </c>
      <c r="B2780" s="1" t="str">
        <f t="shared" si="472"/>
        <v>04.06.2020</v>
      </c>
      <c r="C2780" s="1" t="str">
        <f t="shared" si="473"/>
        <v>Закрито</v>
      </c>
      <c r="D278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80" s="1" t="str">
        <f>"Земельні питання"</f>
        <v>Земельні питання</v>
      </c>
      <c r="F27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80" s="1" t="str">
        <f>"1"</f>
        <v>1</v>
      </c>
      <c r="H2780" s="1" t="str">
        <f>"Результат"</f>
        <v>Результат</v>
      </c>
      <c r="I2780" s="1" t="str">
        <f>"Позитивний"</f>
        <v>Позитивний</v>
      </c>
      <c r="J2780" s="1" t="str">
        <f>"Так"</f>
        <v>Так</v>
      </c>
    </row>
    <row r="2781" spans="1:10" ht="90" x14ac:dyDescent="0.25">
      <c r="A2781" s="1" t="str">
        <f>"2786-2020/27"</f>
        <v>2786-2020/27</v>
      </c>
      <c r="B2781" s="1" t="str">
        <f t="shared" si="472"/>
        <v>04.06.2020</v>
      </c>
      <c r="C2781" s="1" t="str">
        <f t="shared" si="473"/>
        <v>Закрито</v>
      </c>
      <c r="D278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781" s="1" t="str">
        <f>"Інші послуги"</f>
        <v>Інші послуги</v>
      </c>
      <c r="F278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781" s="1" t="str">
        <f>"5"</f>
        <v>5</v>
      </c>
      <c r="H2781" s="1" t="str">
        <f>"Результат"</f>
        <v>Результат</v>
      </c>
      <c r="I2781" s="1" t="str">
        <f>"Позитивний"</f>
        <v>Позитивний</v>
      </c>
      <c r="J2781" s="1" t="str">
        <f>"Ні"</f>
        <v>Ні</v>
      </c>
    </row>
    <row r="2782" spans="1:10" ht="135" x14ac:dyDescent="0.25">
      <c r="A2782" s="1" t="str">
        <f>"2827-2020/27"</f>
        <v>2827-2020/27</v>
      </c>
      <c r="B2782" s="1" t="str">
        <f t="shared" ref="B2782:B2800" si="475">"05.06.2020"</f>
        <v>05.06.2020</v>
      </c>
      <c r="C2782" s="1" t="str">
        <f t="shared" si="473"/>
        <v>Закрито</v>
      </c>
      <c r="D278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82" s="1" t="str">
        <f>"Земельні питання"</f>
        <v>Земельні питання</v>
      </c>
      <c r="F278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82" s="1" t="str">
        <f>"1"</f>
        <v>1</v>
      </c>
      <c r="H2782" s="1" t="str">
        <f>"Результат"</f>
        <v>Результат</v>
      </c>
      <c r="I2782" s="1" t="str">
        <f>"Позитивний"</f>
        <v>Позитивний</v>
      </c>
      <c r="J2782" s="1" t="str">
        <f>"Так"</f>
        <v>Так</v>
      </c>
    </row>
    <row r="2783" spans="1:10" ht="135" x14ac:dyDescent="0.25">
      <c r="A2783" s="1" t="str">
        <f>"2820-2020/27"</f>
        <v>2820-2020/27</v>
      </c>
      <c r="B2783" s="1" t="str">
        <f t="shared" si="475"/>
        <v>05.06.2020</v>
      </c>
      <c r="C2783" s="1" t="str">
        <f t="shared" si="473"/>
        <v>Закрито</v>
      </c>
      <c r="D2783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2783" s="1" t="str">
        <f>"Земельні питання"</f>
        <v>Земельні питання</v>
      </c>
      <c r="F278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83" s="1" t="str">
        <f>"14"</f>
        <v>14</v>
      </c>
      <c r="H2783" s="1" t="str">
        <f>"Результат"</f>
        <v>Результат</v>
      </c>
      <c r="I2783" s="1" t="str">
        <f>"Позитивний"</f>
        <v>Позитивний</v>
      </c>
      <c r="J2783" s="1" t="str">
        <f>"Ні"</f>
        <v>Ні</v>
      </c>
    </row>
    <row r="2784" spans="1:10" ht="105" x14ac:dyDescent="0.25">
      <c r="A2784" s="1" t="str">
        <f>"2821-2020/27"</f>
        <v>2821-2020/27</v>
      </c>
      <c r="B2784" s="1" t="str">
        <f t="shared" si="475"/>
        <v>05.06.2020</v>
      </c>
      <c r="C2784" s="1" t="str">
        <f t="shared" si="473"/>
        <v>Закрито</v>
      </c>
      <c r="D278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84" s="1" t="str">
        <f>"Земельні питання"</f>
        <v>Земельні питання</v>
      </c>
      <c r="F278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84" s="1" t="str">
        <f>"1"</f>
        <v>1</v>
      </c>
      <c r="H2784" s="1" t="str">
        <f>"Результат"</f>
        <v>Результат</v>
      </c>
      <c r="I2784" s="1" t="str">
        <f>"Позитивний"</f>
        <v>Позитивний</v>
      </c>
      <c r="J2784" s="1" t="str">
        <f>"Так"</f>
        <v>Так</v>
      </c>
    </row>
    <row r="2785" spans="1:10" ht="135" x14ac:dyDescent="0.25">
      <c r="A2785" s="1" t="str">
        <f>"2819-2020/27"</f>
        <v>2819-2020/27</v>
      </c>
      <c r="B2785" s="1" t="str">
        <f t="shared" si="475"/>
        <v>05.06.2020</v>
      </c>
      <c r="C2785" s="1" t="str">
        <f t="shared" si="473"/>
        <v>Закрито</v>
      </c>
      <c r="D278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85" s="1" t="str">
        <f>"Земельні питання"</f>
        <v>Земельні питання</v>
      </c>
      <c r="F27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85" s="1" t="str">
        <f>"14"</f>
        <v>14</v>
      </c>
      <c r="H2785" s="1" t="str">
        <f>"Результат"</f>
        <v>Результат</v>
      </c>
      <c r="I2785" s="1" t="str">
        <f>"Позитивний"</f>
        <v>Позитивний</v>
      </c>
      <c r="J2785" s="1" t="str">
        <f>"Ні"</f>
        <v>Ні</v>
      </c>
    </row>
    <row r="2786" spans="1:10" ht="45" x14ac:dyDescent="0.25">
      <c r="A2786" s="1" t="str">
        <f>"2823-2020/27"</f>
        <v>2823-2020/27</v>
      </c>
      <c r="B2786" s="1" t="str">
        <f t="shared" si="475"/>
        <v>05.06.2020</v>
      </c>
      <c r="C2786" s="1" t="str">
        <f t="shared" si="473"/>
        <v>Закрито</v>
      </c>
      <c r="D2786" s="1" t="str">
        <f>"Реєстрація місця проживання особи"</f>
        <v>Реєстрація місця проживання особи</v>
      </c>
      <c r="E2786" s="1" t="str">
        <f>"Реєстрація місця проживання"</f>
        <v>Реєстрація місця проживання</v>
      </c>
      <c r="F2786" s="1" t="str">
        <f>"Відділ реєстрації Новокаховської міської ради"</f>
        <v>Відділ реєстрації Новокаховської міської ради</v>
      </c>
      <c r="G2786" s="1" t="str">
        <f>"1"</f>
        <v>1</v>
      </c>
      <c r="H2786" s="1" t="str">
        <f>"Результат"</f>
        <v>Результат</v>
      </c>
      <c r="I2786" s="1" t="str">
        <f>"Позитивний"</f>
        <v>Позитивний</v>
      </c>
      <c r="J2786" s="1" t="str">
        <f>"Так"</f>
        <v>Так</v>
      </c>
    </row>
    <row r="2787" spans="1:10" ht="135" x14ac:dyDescent="0.25">
      <c r="A2787" s="1" t="str">
        <f>"2818-2020/27"</f>
        <v>2818-2020/27</v>
      </c>
      <c r="B2787" s="1" t="str">
        <f t="shared" si="475"/>
        <v>05.06.2020</v>
      </c>
      <c r="C2787" s="1" t="str">
        <f t="shared" si="473"/>
        <v>Закрито</v>
      </c>
      <c r="D278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787" s="1" t="str">
        <f>"Земельні питання"</f>
        <v>Земельні питання</v>
      </c>
      <c r="F27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87" s="1" t="str">
        <f>"14"</f>
        <v>14</v>
      </c>
      <c r="H2787" s="1" t="str">
        <f>"Результат"</f>
        <v>Результат</v>
      </c>
      <c r="I2787" s="1" t="str">
        <f>"Позитивний"</f>
        <v>Позитивний</v>
      </c>
      <c r="J2787" s="1" t="str">
        <f>"Ні"</f>
        <v>Ні</v>
      </c>
    </row>
    <row r="2788" spans="1:10" ht="75" x14ac:dyDescent="0.25">
      <c r="A2788" s="1" t="str">
        <f>"2813-2020/27"</f>
        <v>2813-2020/27</v>
      </c>
      <c r="B2788" s="1" t="str">
        <f t="shared" si="475"/>
        <v>05.06.2020</v>
      </c>
      <c r="C2788" s="1" t="str">
        <f t="shared" si="473"/>
        <v>Закрито</v>
      </c>
      <c r="D2788" s="1" t="str">
        <f>"Державна реєстрація рішення про припинення громадського об'єднання"</f>
        <v>Державна реєстрація рішення про припинення громадського об'єднання</v>
      </c>
      <c r="E2788" s="1" t="str">
        <f>"Державна реєстрація громадських об’єднань"</f>
        <v>Державна реєстрація громадських об’єднань</v>
      </c>
      <c r="F2788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2788" s="1" t="str">
        <f>"3"</f>
        <v>3</v>
      </c>
      <c r="H2788" s="1" t="str">
        <f>"Результат"</f>
        <v>Результат</v>
      </c>
      <c r="I2788" s="1" t="str">
        <f>"Мотивована відмова"</f>
        <v>Мотивована відмова</v>
      </c>
      <c r="J2788" s="1" t="str">
        <f>"Ні"</f>
        <v>Ні</v>
      </c>
    </row>
    <row r="2789" spans="1:10" ht="45" x14ac:dyDescent="0.25">
      <c r="A2789" s="1" t="str">
        <f>"2812-2020/27"</f>
        <v>2812-2020/27</v>
      </c>
      <c r="B2789" s="1" t="str">
        <f t="shared" si="475"/>
        <v>05.06.2020</v>
      </c>
      <c r="C2789" s="1" t="str">
        <f t="shared" si="473"/>
        <v>Закрито</v>
      </c>
      <c r="D2789" s="1" t="str">
        <f>"Реєстрація місця проживання особи"</f>
        <v>Реєстрація місця проживання особи</v>
      </c>
      <c r="E2789" s="1" t="str">
        <f>"Реєстрація місця проживання"</f>
        <v>Реєстрація місця проживання</v>
      </c>
      <c r="F2789" s="1" t="str">
        <f>"Відділ реєстрації Новокаховської міської ради"</f>
        <v>Відділ реєстрації Новокаховської міської ради</v>
      </c>
      <c r="G2789" s="1" t="str">
        <f>"1"</f>
        <v>1</v>
      </c>
      <c r="H2789" s="1" t="str">
        <f>"Результат"</f>
        <v>Результат</v>
      </c>
      <c r="I2789" s="1" t="str">
        <f>"Мотивована відмова"</f>
        <v>Мотивована відмова</v>
      </c>
      <c r="J2789" s="1" t="str">
        <f>"Так"</f>
        <v>Так</v>
      </c>
    </row>
    <row r="2790" spans="1:10" ht="135" x14ac:dyDescent="0.25">
      <c r="A2790" s="1" t="str">
        <f>"2825-2020/27"</f>
        <v>2825-2020/27</v>
      </c>
      <c r="B2790" s="1" t="str">
        <f t="shared" si="475"/>
        <v>05.06.2020</v>
      </c>
      <c r="C2790" s="1" t="str">
        <f t="shared" si="473"/>
        <v>Закрито</v>
      </c>
      <c r="D27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90" s="1" t="str">
        <f>"Земельні питання"</f>
        <v>Земельні питання</v>
      </c>
      <c r="F279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90" s="1" t="str">
        <f>"1"</f>
        <v>1</v>
      </c>
      <c r="H2790" s="1" t="str">
        <f>"Результат"</f>
        <v>Результат</v>
      </c>
      <c r="I2790" s="1" t="str">
        <f>"Позитивний"</f>
        <v>Позитивний</v>
      </c>
      <c r="J2790" s="1" t="str">
        <f>"Так"</f>
        <v>Так</v>
      </c>
    </row>
    <row r="2791" spans="1:10" ht="105" x14ac:dyDescent="0.25">
      <c r="A2791" s="1" t="str">
        <f>"2824-2020/27"</f>
        <v>2824-2020/27</v>
      </c>
      <c r="B2791" s="1" t="str">
        <f t="shared" si="475"/>
        <v>05.06.2020</v>
      </c>
      <c r="C2791" s="1" t="str">
        <f t="shared" si="473"/>
        <v>Закрито</v>
      </c>
      <c r="D279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91" s="1" t="str">
        <f>"Земельні питання"</f>
        <v>Земельні питання</v>
      </c>
      <c r="F279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791" s="1" t="str">
        <f>"1"</f>
        <v>1</v>
      </c>
      <c r="H2791" s="1" t="str">
        <f>"Результат"</f>
        <v>Результат</v>
      </c>
      <c r="I2791" s="1" t="str">
        <f>"Позитивний"</f>
        <v>Позитивний</v>
      </c>
      <c r="J2791" s="1" t="str">
        <f>"Ні"</f>
        <v>Ні</v>
      </c>
    </row>
    <row r="2792" spans="1:10" ht="45" x14ac:dyDescent="0.25">
      <c r="A2792" s="1" t="str">
        <f>"2816-2020/27"</f>
        <v>2816-2020/27</v>
      </c>
      <c r="B2792" s="1" t="str">
        <f t="shared" si="475"/>
        <v>05.06.2020</v>
      </c>
      <c r="C2792" s="1" t="str">
        <f t="shared" si="473"/>
        <v>Закрито</v>
      </c>
      <c r="D2792" s="1" t="str">
        <f>"Зняття з реєстрації місця проживання"</f>
        <v>Зняття з реєстрації місця проживання</v>
      </c>
      <c r="E2792" s="1" t="str">
        <f>"Реєстрація місця проживання"</f>
        <v>Реєстрація місця проживання</v>
      </c>
      <c r="F2792" s="1" t="str">
        <f>"Відділ реєстрації Новокаховської міської ради"</f>
        <v>Відділ реєстрації Новокаховської міської ради</v>
      </c>
      <c r="G2792" s="1" t="str">
        <f>"1"</f>
        <v>1</v>
      </c>
      <c r="H2792" s="1" t="str">
        <f>"Результат"</f>
        <v>Результат</v>
      </c>
      <c r="I2792" s="1" t="str">
        <f>"Позитивний"</f>
        <v>Позитивний</v>
      </c>
      <c r="J2792" s="1" t="str">
        <f>"Так"</f>
        <v>Так</v>
      </c>
    </row>
    <row r="2793" spans="1:10" ht="135" x14ac:dyDescent="0.25">
      <c r="A2793" s="1" t="str">
        <f>"2815-2020/27"</f>
        <v>2815-2020/27</v>
      </c>
      <c r="B2793" s="1" t="str">
        <f t="shared" si="475"/>
        <v>05.06.2020</v>
      </c>
      <c r="C2793" s="1" t="str">
        <f t="shared" si="473"/>
        <v>Закрито</v>
      </c>
      <c r="D279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93" s="1" t="str">
        <f>"Земельні питання"</f>
        <v>Земельні питання</v>
      </c>
      <c r="F27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93" s="1" t="str">
        <f>"3"</f>
        <v>3</v>
      </c>
      <c r="H2793" s="1" t="str">
        <f>"Результат"</f>
        <v>Результат</v>
      </c>
      <c r="I2793" s="1" t="str">
        <f>"Позитивний"</f>
        <v>Позитивний</v>
      </c>
      <c r="J2793" s="1" t="str">
        <f>"Ні"</f>
        <v>Ні</v>
      </c>
    </row>
    <row r="2794" spans="1:10" ht="135" x14ac:dyDescent="0.25">
      <c r="A2794" s="1" t="str">
        <f>"2814-2020/27"</f>
        <v>2814-2020/27</v>
      </c>
      <c r="B2794" s="1" t="str">
        <f t="shared" si="475"/>
        <v>05.06.2020</v>
      </c>
      <c r="C2794" s="1" t="str">
        <f t="shared" si="473"/>
        <v>Закрито</v>
      </c>
      <c r="D279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94" s="1" t="str">
        <f>"Земельні питання"</f>
        <v>Земельні питання</v>
      </c>
      <c r="F279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94" s="1" t="str">
        <f>"3"</f>
        <v>3</v>
      </c>
      <c r="H2794" s="1" t="str">
        <f>"Результат"</f>
        <v>Результат</v>
      </c>
      <c r="I2794" s="1" t="str">
        <f>"Позитивний"</f>
        <v>Позитивний</v>
      </c>
      <c r="J2794" s="1" t="str">
        <f>"Ні"</f>
        <v>Ні</v>
      </c>
    </row>
    <row r="2795" spans="1:10" ht="135" x14ac:dyDescent="0.25">
      <c r="A2795" s="1" t="str">
        <f>"2817-2020/27"</f>
        <v>2817-2020/27</v>
      </c>
      <c r="B2795" s="1" t="str">
        <f t="shared" si="475"/>
        <v>05.06.2020</v>
      </c>
      <c r="C2795" s="1" t="str">
        <f t="shared" si="473"/>
        <v>Закрито</v>
      </c>
      <c r="D279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795" s="1" t="str">
        <f>"Земельні питання"</f>
        <v>Земельні питання</v>
      </c>
      <c r="F27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95" s="1" t="str">
        <f>"1"</f>
        <v>1</v>
      </c>
      <c r="H2795" s="1" t="str">
        <f>"Результат"</f>
        <v>Результат</v>
      </c>
      <c r="I2795" s="1" t="str">
        <f>"Позитивний"</f>
        <v>Позитивний</v>
      </c>
      <c r="J2795" s="1" t="str">
        <f>"Так"</f>
        <v>Так</v>
      </c>
    </row>
    <row r="2796" spans="1:10" ht="45" x14ac:dyDescent="0.25">
      <c r="A2796" s="1" t="str">
        <f>"2811-2020/27"</f>
        <v>2811-2020/27</v>
      </c>
      <c r="B2796" s="1" t="str">
        <f t="shared" si="475"/>
        <v>05.06.2020</v>
      </c>
      <c r="C2796" s="1" t="str">
        <f t="shared" si="473"/>
        <v>Закрито</v>
      </c>
      <c r="D2796" s="1" t="str">
        <f>"Реєстрація місця проживання особи"</f>
        <v>Реєстрація місця проживання особи</v>
      </c>
      <c r="E2796" s="1" t="str">
        <f>"Реєстрація місця проживання"</f>
        <v>Реєстрація місця проживання</v>
      </c>
      <c r="F2796" s="1" t="str">
        <f>"Відділ реєстрації Новокаховської міської ради"</f>
        <v>Відділ реєстрації Новокаховської міської ради</v>
      </c>
      <c r="G2796" s="1" t="str">
        <f>"1"</f>
        <v>1</v>
      </c>
      <c r="H2796" s="1" t="str">
        <f>"Результат"</f>
        <v>Результат</v>
      </c>
      <c r="I2796" s="1" t="str">
        <f>"Мотивована відмова"</f>
        <v>Мотивована відмова</v>
      </c>
      <c r="J2796" s="1" t="str">
        <f>"Так"</f>
        <v>Так</v>
      </c>
    </row>
    <row r="2797" spans="1:10" ht="150" x14ac:dyDescent="0.25">
      <c r="A2797" s="1" t="str">
        <f>"2826-2020/27"</f>
        <v>2826-2020/27</v>
      </c>
      <c r="B2797" s="1" t="str">
        <f t="shared" si="475"/>
        <v>05.06.2020</v>
      </c>
      <c r="C2797" s="1" t="str">
        <f t="shared" si="473"/>
        <v>Закрито</v>
      </c>
      <c r="D2797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2797" s="1" t="str">
        <f>"Будівництво"</f>
        <v>Будівництво</v>
      </c>
      <c r="F2797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797" s="1" t="str">
        <f>"10"</f>
        <v>10</v>
      </c>
      <c r="H2797" s="1" t="str">
        <f>"Результат"</f>
        <v>Результат</v>
      </c>
      <c r="I2797" s="1" t="str">
        <f>"Мотивована відмова"</f>
        <v>Мотивована відмова</v>
      </c>
      <c r="J2797" s="1" t="str">
        <f>"Ні"</f>
        <v>Ні</v>
      </c>
    </row>
    <row r="2798" spans="1:10" ht="135" x14ac:dyDescent="0.25">
      <c r="A2798" s="1" t="str">
        <f>"2822-2020/27"</f>
        <v>2822-2020/27</v>
      </c>
      <c r="B2798" s="1" t="str">
        <f t="shared" si="475"/>
        <v>05.06.2020</v>
      </c>
      <c r="C2798" s="1" t="str">
        <f t="shared" si="473"/>
        <v>Закрито</v>
      </c>
      <c r="D279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798" s="1" t="str">
        <f>"Земельні питання"</f>
        <v>Земельні питання</v>
      </c>
      <c r="F27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798" s="1" t="str">
        <f>"3"</f>
        <v>3</v>
      </c>
      <c r="H2798" s="1" t="str">
        <f>"Результат"</f>
        <v>Результат</v>
      </c>
      <c r="I2798" s="1" t="str">
        <f>"Позитивний"</f>
        <v>Позитивний</v>
      </c>
      <c r="J2798" s="1" t="str">
        <f>"Ні"</f>
        <v>Ні</v>
      </c>
    </row>
    <row r="2799" spans="1:10" ht="45" x14ac:dyDescent="0.25">
      <c r="A2799" s="1" t="str">
        <f>"2810-2020/27"</f>
        <v>2810-2020/27</v>
      </c>
      <c r="B2799" s="1" t="str">
        <f t="shared" si="475"/>
        <v>05.06.2020</v>
      </c>
      <c r="C2799" s="1" t="str">
        <f t="shared" si="473"/>
        <v>Закрито</v>
      </c>
      <c r="D2799" s="1" t="str">
        <f>"Зняття з реєстрації місця проживання"</f>
        <v>Зняття з реєстрації місця проживання</v>
      </c>
      <c r="E2799" s="1" t="str">
        <f>"Реєстрація місця проживання"</f>
        <v>Реєстрація місця проживання</v>
      </c>
      <c r="F2799" s="1" t="str">
        <f>"Відділ реєстрації Новокаховської міської ради"</f>
        <v>Відділ реєстрації Новокаховської міської ради</v>
      </c>
      <c r="G2799" s="1" t="str">
        <f>"1"</f>
        <v>1</v>
      </c>
      <c r="H2799" s="1" t="str">
        <f>"Результат"</f>
        <v>Результат</v>
      </c>
      <c r="I2799" s="1" t="str">
        <f>"Позитивний"</f>
        <v>Позитивний</v>
      </c>
      <c r="J2799" s="1" t="str">
        <f>"Так"</f>
        <v>Так</v>
      </c>
    </row>
    <row r="2800" spans="1:10" ht="90" x14ac:dyDescent="0.25">
      <c r="A2800" s="1" t="str">
        <f>"2828-2020/27"</f>
        <v>2828-2020/27</v>
      </c>
      <c r="B2800" s="1" t="str">
        <f t="shared" si="475"/>
        <v>05.06.2020</v>
      </c>
      <c r="C2800" s="1" t="str">
        <f t="shared" si="473"/>
        <v>Закрито</v>
      </c>
      <c r="D280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00" s="1" t="str">
        <f>"Інші послуги"</f>
        <v>Інші послуги</v>
      </c>
      <c r="F280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00" s="1" t="str">
        <f>"5"</f>
        <v>5</v>
      </c>
      <c r="H2800" s="1" t="str">
        <f>"Результат"</f>
        <v>Результат</v>
      </c>
      <c r="I2800" s="1" t="str">
        <f>"Позитивний"</f>
        <v>Позитивний</v>
      </c>
      <c r="J2800" s="1" t="str">
        <f>"Ні"</f>
        <v>Ні</v>
      </c>
    </row>
    <row r="2801" spans="1:10" ht="135" x14ac:dyDescent="0.25">
      <c r="A2801" s="1" t="str">
        <f>"2871-2020/27"</f>
        <v>2871-2020/27</v>
      </c>
      <c r="B2801" s="1" t="str">
        <f t="shared" ref="B2801:B2845" si="476">"09.06.2020"</f>
        <v>09.06.2020</v>
      </c>
      <c r="C2801" s="1" t="str">
        <f t="shared" si="473"/>
        <v>Закрито</v>
      </c>
      <c r="D280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01" s="1" t="str">
        <f>"Земельні питання"</f>
        <v>Земельні питання</v>
      </c>
      <c r="F28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01" s="1" t="str">
        <f>"1"</f>
        <v>1</v>
      </c>
      <c r="H2801" s="1" t="str">
        <f>"Результат"</f>
        <v>Результат</v>
      </c>
      <c r="I2801" s="1" t="str">
        <f>"Позитивний"</f>
        <v>Позитивний</v>
      </c>
      <c r="J2801" s="1" t="str">
        <f>"Так"</f>
        <v>Так</v>
      </c>
    </row>
    <row r="2802" spans="1:10" ht="135" x14ac:dyDescent="0.25">
      <c r="A2802" s="1" t="str">
        <f>"2832-2020/27"</f>
        <v>2832-2020/27</v>
      </c>
      <c r="B2802" s="1" t="str">
        <f t="shared" si="476"/>
        <v>09.06.2020</v>
      </c>
      <c r="C2802" s="1" t="str">
        <f t="shared" si="473"/>
        <v>Закрито</v>
      </c>
      <c r="D280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02" s="1" t="str">
        <f>"Земельні питання"</f>
        <v>Земельні питання</v>
      </c>
      <c r="F28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02" s="1" t="str">
        <f>"1"</f>
        <v>1</v>
      </c>
      <c r="H2802" s="1" t="str">
        <f>"Результат"</f>
        <v>Результат</v>
      </c>
      <c r="I2802" s="1" t="str">
        <f>"Позитивний"</f>
        <v>Позитивний</v>
      </c>
      <c r="J2802" s="1" t="str">
        <f>"Так"</f>
        <v>Так</v>
      </c>
    </row>
    <row r="2803" spans="1:10" ht="90" x14ac:dyDescent="0.25">
      <c r="A2803" s="1" t="str">
        <f>"2837-2020/27"</f>
        <v>2837-2020/27</v>
      </c>
      <c r="B2803" s="1" t="str">
        <f t="shared" si="476"/>
        <v>09.06.2020</v>
      </c>
      <c r="C2803" s="1" t="str">
        <f t="shared" si="473"/>
        <v>Закрито</v>
      </c>
      <c r="D280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03" s="1" t="str">
        <f>"Інші послуги"</f>
        <v>Інші послуги</v>
      </c>
      <c r="F280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03" s="1" t="str">
        <f>"5"</f>
        <v>5</v>
      </c>
      <c r="H2803" s="1" t="str">
        <f>"Результат"</f>
        <v>Результат</v>
      </c>
      <c r="I2803" s="1" t="str">
        <f>"Позитивний"</f>
        <v>Позитивний</v>
      </c>
      <c r="J2803" s="1" t="str">
        <f>"Ні"</f>
        <v>Ні</v>
      </c>
    </row>
    <row r="2804" spans="1:10" ht="135" x14ac:dyDescent="0.25">
      <c r="A2804" s="1" t="str">
        <f>"2858-2020/27"</f>
        <v>2858-2020/27</v>
      </c>
      <c r="B2804" s="1" t="str">
        <f t="shared" si="476"/>
        <v>09.06.2020</v>
      </c>
      <c r="C2804" s="1" t="str">
        <f t="shared" si="473"/>
        <v>Закрито</v>
      </c>
      <c r="D280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04" s="1" t="str">
        <f>"Земельні питання"</f>
        <v>Земельні питання</v>
      </c>
      <c r="F28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04" s="1" t="str">
        <f>"3"</f>
        <v>3</v>
      </c>
      <c r="H2804" s="1" t="str">
        <f>"Результат"</f>
        <v>Результат</v>
      </c>
      <c r="I2804" s="1" t="str">
        <f>"Позитивний"</f>
        <v>Позитивний</v>
      </c>
      <c r="J2804" s="1" t="str">
        <f>"Ні"</f>
        <v>Ні</v>
      </c>
    </row>
    <row r="2805" spans="1:10" ht="45" x14ac:dyDescent="0.25">
      <c r="A2805" s="1" t="str">
        <f>"2848-2020/27"</f>
        <v>2848-2020/27</v>
      </c>
      <c r="B2805" s="1" t="str">
        <f t="shared" si="476"/>
        <v>09.06.2020</v>
      </c>
      <c r="C2805" s="1" t="str">
        <f t="shared" si="473"/>
        <v>Закрито</v>
      </c>
      <c r="D2805" s="1" t="str">
        <f>"Видача дозволу на порушення об’єктів благоустрою"</f>
        <v>Видача дозволу на порушення об’єктів благоустрою</v>
      </c>
      <c r="E2805" s="1" t="str">
        <f>"Об’єкти благоустрою"</f>
        <v>Об’єкти благоустрою</v>
      </c>
      <c r="F2805" s="1" t="str">
        <f>"Виконавчий комітет Новокаховської міської ради"</f>
        <v>Виконавчий комітет Новокаховської міської ради</v>
      </c>
      <c r="G2805" s="1" t="str">
        <f>"10"</f>
        <v>10</v>
      </c>
      <c r="H2805" s="1" t="str">
        <f>"Результат"</f>
        <v>Результат</v>
      </c>
      <c r="I2805" s="1" t="str">
        <f>"Позитивний"</f>
        <v>Позитивний</v>
      </c>
      <c r="J2805" s="1" t="str">
        <f>"Ні"</f>
        <v>Ні</v>
      </c>
    </row>
    <row r="2806" spans="1:10" ht="135" x14ac:dyDescent="0.25">
      <c r="A2806" s="1" t="str">
        <f>"2867-2020/27"</f>
        <v>2867-2020/27</v>
      </c>
      <c r="B2806" s="1" t="str">
        <f t="shared" si="476"/>
        <v>09.06.2020</v>
      </c>
      <c r="C2806" s="1" t="str">
        <f t="shared" si="473"/>
        <v>Закрито</v>
      </c>
      <c r="D280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06" s="1" t="str">
        <f>"Земельні питання"</f>
        <v>Земельні питання</v>
      </c>
      <c r="F28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06" s="1" t="str">
        <f>"1"</f>
        <v>1</v>
      </c>
      <c r="H2806" s="1" t="str">
        <f>"Результат"</f>
        <v>Результат</v>
      </c>
      <c r="I2806" s="1" t="str">
        <f>"Позитивний"</f>
        <v>Позитивний</v>
      </c>
      <c r="J2806" s="1" t="str">
        <f>"Так"</f>
        <v>Так</v>
      </c>
    </row>
    <row r="2807" spans="1:10" ht="135" x14ac:dyDescent="0.25">
      <c r="A2807" s="1" t="str">
        <f>"2852-2020/27"</f>
        <v>2852-2020/27</v>
      </c>
      <c r="B2807" s="1" t="str">
        <f t="shared" si="476"/>
        <v>09.06.2020</v>
      </c>
      <c r="C2807" s="1" t="str">
        <f t="shared" si="473"/>
        <v>Закрито</v>
      </c>
      <c r="D280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07" s="1" t="str">
        <f>"Земельні питання"</f>
        <v>Земельні питання</v>
      </c>
      <c r="F28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07" s="1" t="str">
        <f>"14"</f>
        <v>14</v>
      </c>
      <c r="H2807" s="1" t="str">
        <f>"Результат"</f>
        <v>Результат</v>
      </c>
      <c r="I2807" s="1" t="str">
        <f>"Позитивний"</f>
        <v>Позитивний</v>
      </c>
      <c r="J2807" s="1" t="str">
        <f>"Ні"</f>
        <v>Ні</v>
      </c>
    </row>
    <row r="2808" spans="1:10" ht="225" x14ac:dyDescent="0.25">
      <c r="A2808" s="1" t="str">
        <f>"2839-2020/27"</f>
        <v>2839-2020/27</v>
      </c>
      <c r="B2808" s="1" t="str">
        <f t="shared" si="476"/>
        <v>09.06.2020</v>
      </c>
      <c r="C2808" s="1" t="str">
        <f>"На обробці в адмін. органі"</f>
        <v>На обробці в адмін. органі</v>
      </c>
      <c r="D2808" s="1" t="s">
        <v>0</v>
      </c>
      <c r="E2808" s="1" t="str">
        <f>"Будівництво"</f>
        <v>Будівництво</v>
      </c>
      <c r="F280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08" s="1" t="str">
        <f>"10"</f>
        <v>10</v>
      </c>
      <c r="H2808" s="1" t="str">
        <f>""</f>
        <v/>
      </c>
      <c r="I2808" s="1" t="str">
        <f>""</f>
        <v/>
      </c>
      <c r="J2808" s="1" t="str">
        <f>"Ні"</f>
        <v>Ні</v>
      </c>
    </row>
    <row r="2809" spans="1:10" ht="90" x14ac:dyDescent="0.25">
      <c r="A2809" s="1" t="str">
        <f>"2831-2020/27"</f>
        <v>2831-2020/27</v>
      </c>
      <c r="B2809" s="1" t="str">
        <f t="shared" si="476"/>
        <v>09.06.2020</v>
      </c>
      <c r="C2809" s="1" t="str">
        <f t="shared" ref="C2809:C2837" si="477">"Закрито"</f>
        <v>Закрито</v>
      </c>
      <c r="D280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09" s="1" t="str">
        <f>"Інші послуги"</f>
        <v>Інші послуги</v>
      </c>
      <c r="F280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09" s="1" t="str">
        <f>"5"</f>
        <v>5</v>
      </c>
      <c r="H2809" s="1" t="str">
        <f>"Результат"</f>
        <v>Результат</v>
      </c>
      <c r="I2809" s="1" t="str">
        <f>"Позитивний"</f>
        <v>Позитивний</v>
      </c>
      <c r="J2809" s="1" t="str">
        <f>"Ні"</f>
        <v>Ні</v>
      </c>
    </row>
    <row r="2810" spans="1:10" ht="135" x14ac:dyDescent="0.25">
      <c r="A2810" s="1" t="str">
        <f>"2833-2020/27"</f>
        <v>2833-2020/27</v>
      </c>
      <c r="B2810" s="1" t="str">
        <f t="shared" si="476"/>
        <v>09.06.2020</v>
      </c>
      <c r="C2810" s="1" t="str">
        <f t="shared" si="477"/>
        <v>Закрито</v>
      </c>
      <c r="D2810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10" s="1" t="str">
        <f>"Земельні питання"</f>
        <v>Земельні питання</v>
      </c>
      <c r="F28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10" s="1" t="str">
        <f>"3"</f>
        <v>3</v>
      </c>
      <c r="H2810" s="1" t="str">
        <f>"Результат"</f>
        <v>Результат</v>
      </c>
      <c r="I2810" s="1" t="str">
        <f>"Позитивний"</f>
        <v>Позитивний</v>
      </c>
      <c r="J2810" s="1" t="str">
        <f>"Ні"</f>
        <v>Ні</v>
      </c>
    </row>
    <row r="2811" spans="1:10" ht="135" x14ac:dyDescent="0.25">
      <c r="A2811" s="1" t="str">
        <f>"2864-2020/27"</f>
        <v>2864-2020/27</v>
      </c>
      <c r="B2811" s="1" t="str">
        <f t="shared" si="476"/>
        <v>09.06.2020</v>
      </c>
      <c r="C2811" s="1" t="str">
        <f t="shared" si="477"/>
        <v>Закрито</v>
      </c>
      <c r="D281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11" s="1" t="str">
        <f>"Земельні питання"</f>
        <v>Земельні питання</v>
      </c>
      <c r="F28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11" s="1" t="str">
        <f>"1"</f>
        <v>1</v>
      </c>
      <c r="H2811" s="1" t="str">
        <f>"Результат"</f>
        <v>Результат</v>
      </c>
      <c r="I2811" s="1" t="str">
        <f>"Позитивний"</f>
        <v>Позитивний</v>
      </c>
      <c r="J2811" s="1" t="str">
        <f>"Так"</f>
        <v>Так</v>
      </c>
    </row>
    <row r="2812" spans="1:10" ht="225" x14ac:dyDescent="0.25">
      <c r="A2812" s="1" t="str">
        <f>"2872-2020/27"</f>
        <v>2872-2020/27</v>
      </c>
      <c r="B2812" s="1" t="str">
        <f t="shared" si="476"/>
        <v>09.06.2020</v>
      </c>
      <c r="C2812" s="1" t="str">
        <f t="shared" si="477"/>
        <v>Закрито</v>
      </c>
      <c r="D2812" s="1" t="s">
        <v>1</v>
      </c>
      <c r="E2812" s="1" t="str">
        <f>"Будівництво"</f>
        <v>Будівництво</v>
      </c>
      <c r="F281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12" s="1" t="str">
        <f>"30"</f>
        <v>30</v>
      </c>
      <c r="H2812" s="1" t="str">
        <f>"Результат"</f>
        <v>Результат</v>
      </c>
      <c r="I2812" s="1" t="str">
        <f>"Позитивний"</f>
        <v>Позитивний</v>
      </c>
      <c r="J2812" s="1" t="str">
        <f>"Ні"</f>
        <v>Ні</v>
      </c>
    </row>
    <row r="2813" spans="1:10" ht="135" x14ac:dyDescent="0.25">
      <c r="A2813" s="1" t="str">
        <f>"2835-2020/27"</f>
        <v>2835-2020/27</v>
      </c>
      <c r="B2813" s="1" t="str">
        <f t="shared" si="476"/>
        <v>09.06.2020</v>
      </c>
      <c r="C2813" s="1" t="str">
        <f t="shared" si="477"/>
        <v>Закрито</v>
      </c>
      <c r="D281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13" s="1" t="str">
        <f>"Земельні питання"</f>
        <v>Земельні питання</v>
      </c>
      <c r="F281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13" s="1" t="str">
        <f>"1"</f>
        <v>1</v>
      </c>
      <c r="H2813" s="1" t="str">
        <f>"Результат"</f>
        <v>Результат</v>
      </c>
      <c r="I2813" s="1" t="str">
        <f>"Позитивний"</f>
        <v>Позитивний</v>
      </c>
      <c r="J2813" s="1" t="str">
        <f>"Так"</f>
        <v>Так</v>
      </c>
    </row>
    <row r="2814" spans="1:10" ht="135" x14ac:dyDescent="0.25">
      <c r="A2814" s="1" t="str">
        <f>"2834-2020/27"</f>
        <v>2834-2020/27</v>
      </c>
      <c r="B2814" s="1" t="str">
        <f t="shared" si="476"/>
        <v>09.06.2020</v>
      </c>
      <c r="C2814" s="1" t="str">
        <f t="shared" si="477"/>
        <v>Закрито</v>
      </c>
      <c r="D281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14" s="1" t="str">
        <f>"Земельні питання"</f>
        <v>Земельні питання</v>
      </c>
      <c r="F28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14" s="1" t="str">
        <f>"1"</f>
        <v>1</v>
      </c>
      <c r="H2814" s="1" t="str">
        <f>"Результат"</f>
        <v>Результат</v>
      </c>
      <c r="I2814" s="1" t="str">
        <f>"Позитивний"</f>
        <v>Позитивний</v>
      </c>
      <c r="J2814" s="1" t="str">
        <f>"Так"</f>
        <v>Так</v>
      </c>
    </row>
    <row r="2815" spans="1:10" ht="135" x14ac:dyDescent="0.25">
      <c r="A2815" s="1" t="str">
        <f>"2862-2020/27"</f>
        <v>2862-2020/27</v>
      </c>
      <c r="B2815" s="1" t="str">
        <f t="shared" si="476"/>
        <v>09.06.2020</v>
      </c>
      <c r="C2815" s="1" t="str">
        <f t="shared" si="477"/>
        <v>Закрито</v>
      </c>
      <c r="D281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15" s="1" t="str">
        <f>"Земельні питання"</f>
        <v>Земельні питання</v>
      </c>
      <c r="F28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15" s="1" t="str">
        <f>"14"</f>
        <v>14</v>
      </c>
      <c r="H2815" s="1" t="str">
        <f>"Результат"</f>
        <v>Результат</v>
      </c>
      <c r="I2815" s="1" t="str">
        <f>"Позитивний"</f>
        <v>Позитивний</v>
      </c>
      <c r="J2815" s="1" t="str">
        <f>"Ні"</f>
        <v>Ні</v>
      </c>
    </row>
    <row r="2816" spans="1:10" ht="135" x14ac:dyDescent="0.25">
      <c r="A2816" s="1" t="str">
        <f>"2865-2020/27"</f>
        <v>2865-2020/27</v>
      </c>
      <c r="B2816" s="1" t="str">
        <f t="shared" si="476"/>
        <v>09.06.2020</v>
      </c>
      <c r="C2816" s="1" t="str">
        <f t="shared" si="477"/>
        <v>Закрито</v>
      </c>
      <c r="D281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16" s="1" t="str">
        <f>"Земельні питання"</f>
        <v>Земельні питання</v>
      </c>
      <c r="F28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16" s="1" t="str">
        <f>"1"</f>
        <v>1</v>
      </c>
      <c r="H2816" s="1" t="str">
        <f>"Результат"</f>
        <v>Результат</v>
      </c>
      <c r="I2816" s="1" t="str">
        <f>"Позитивний"</f>
        <v>Позитивний</v>
      </c>
      <c r="J2816" s="1" t="str">
        <f>"Так"</f>
        <v>Так</v>
      </c>
    </row>
    <row r="2817" spans="1:10" ht="105" x14ac:dyDescent="0.25">
      <c r="A2817" s="1" t="str">
        <f>"2869-2020/27"</f>
        <v>2869-2020/27</v>
      </c>
      <c r="B2817" s="1" t="str">
        <f t="shared" si="476"/>
        <v>09.06.2020</v>
      </c>
      <c r="C2817" s="1" t="str">
        <f t="shared" si="477"/>
        <v>Закрито</v>
      </c>
      <c r="D281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17" s="1" t="str">
        <f>"Земельні питання"</f>
        <v>Земельні питання</v>
      </c>
      <c r="F281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17" s="1" t="str">
        <f>"1"</f>
        <v>1</v>
      </c>
      <c r="H2817" s="1" t="str">
        <f>"Результат"</f>
        <v>Результат</v>
      </c>
      <c r="I2817" s="1" t="str">
        <f>"Позитивний"</f>
        <v>Позитивний</v>
      </c>
      <c r="J2817" s="1" t="str">
        <f>"Ні"</f>
        <v>Ні</v>
      </c>
    </row>
    <row r="2818" spans="1:10" ht="225" x14ac:dyDescent="0.25">
      <c r="A2818" s="1" t="str">
        <f>"2844-2020/27"</f>
        <v>2844-2020/27</v>
      </c>
      <c r="B2818" s="1" t="str">
        <f t="shared" si="476"/>
        <v>09.06.2020</v>
      </c>
      <c r="C2818" s="1" t="str">
        <f t="shared" si="477"/>
        <v>Закрито</v>
      </c>
      <c r="D2818" s="1" t="s">
        <v>1</v>
      </c>
      <c r="E2818" s="1" t="str">
        <f>"Будівництво"</f>
        <v>Будівництво</v>
      </c>
      <c r="F281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18" s="1" t="str">
        <f>"30"</f>
        <v>30</v>
      </c>
      <c r="H2818" s="1" t="str">
        <f>"Результат"</f>
        <v>Результат</v>
      </c>
      <c r="I2818" s="1" t="str">
        <f>"Позитивний"</f>
        <v>Позитивний</v>
      </c>
      <c r="J2818" s="1" t="str">
        <f>"Ні"</f>
        <v>Ні</v>
      </c>
    </row>
    <row r="2819" spans="1:10" ht="225" x14ac:dyDescent="0.25">
      <c r="A2819" s="1" t="str">
        <f>"2873-2020/27"</f>
        <v>2873-2020/27</v>
      </c>
      <c r="B2819" s="1" t="str">
        <f t="shared" si="476"/>
        <v>09.06.2020</v>
      </c>
      <c r="C2819" s="1" t="str">
        <f t="shared" si="477"/>
        <v>Закрито</v>
      </c>
      <c r="D2819" s="1" t="s">
        <v>1</v>
      </c>
      <c r="E2819" s="1" t="str">
        <f>"Будівництво"</f>
        <v>Будівництво</v>
      </c>
      <c r="F281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19" s="1" t="str">
        <f>"30"</f>
        <v>30</v>
      </c>
      <c r="H2819" s="1" t="str">
        <f>"Результат"</f>
        <v>Результат</v>
      </c>
      <c r="I2819" s="1" t="str">
        <f>"Позитивний"</f>
        <v>Позитивний</v>
      </c>
      <c r="J2819" s="1" t="str">
        <f>"Ні"</f>
        <v>Ні</v>
      </c>
    </row>
    <row r="2820" spans="1:10" ht="225" x14ac:dyDescent="0.25">
      <c r="A2820" s="1" t="str">
        <f>"2846-2020/27"</f>
        <v>2846-2020/27</v>
      </c>
      <c r="B2820" s="1" t="str">
        <f t="shared" si="476"/>
        <v>09.06.2020</v>
      </c>
      <c r="C2820" s="1" t="str">
        <f t="shared" si="477"/>
        <v>Закрито</v>
      </c>
      <c r="D2820" s="1" t="s">
        <v>1</v>
      </c>
      <c r="E2820" s="1" t="str">
        <f>"Будівництво"</f>
        <v>Будівництво</v>
      </c>
      <c r="F282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20" s="1" t="str">
        <f>"30"</f>
        <v>30</v>
      </c>
      <c r="H2820" s="1" t="str">
        <f>"Результат"</f>
        <v>Результат</v>
      </c>
      <c r="I2820" s="1" t="str">
        <f>"Позитивний"</f>
        <v>Позитивний</v>
      </c>
      <c r="J2820" s="1" t="str">
        <f>"Ні"</f>
        <v>Ні</v>
      </c>
    </row>
    <row r="2821" spans="1:10" ht="45" x14ac:dyDescent="0.25">
      <c r="A2821" s="1" t="str">
        <f>"2849-2020/27"</f>
        <v>2849-2020/27</v>
      </c>
      <c r="B2821" s="1" t="str">
        <f t="shared" si="476"/>
        <v>09.06.2020</v>
      </c>
      <c r="C2821" s="1" t="str">
        <f t="shared" si="477"/>
        <v>Закрито</v>
      </c>
      <c r="D2821" s="1" t="str">
        <f>"Реєстрація місця проживання особи"</f>
        <v>Реєстрація місця проживання особи</v>
      </c>
      <c r="E2821" s="1" t="str">
        <f>"Реєстрація місця проживання"</f>
        <v>Реєстрація місця проживання</v>
      </c>
      <c r="F2821" s="1" t="str">
        <f>"Відділ реєстрації Новокаховської міської ради"</f>
        <v>Відділ реєстрації Новокаховської міської ради</v>
      </c>
      <c r="G2821" s="1" t="str">
        <f>"1"</f>
        <v>1</v>
      </c>
      <c r="H2821" s="1" t="str">
        <f>"Результат"</f>
        <v>Результат</v>
      </c>
      <c r="I2821" s="1" t="str">
        <f>"Позитивний"</f>
        <v>Позитивний</v>
      </c>
      <c r="J2821" s="1" t="str">
        <f>"Так"</f>
        <v>Так</v>
      </c>
    </row>
    <row r="2822" spans="1:10" ht="135" x14ac:dyDescent="0.25">
      <c r="A2822" s="1" t="str">
        <f>"2859-2020/27"</f>
        <v>2859-2020/27</v>
      </c>
      <c r="B2822" s="1" t="str">
        <f t="shared" si="476"/>
        <v>09.06.2020</v>
      </c>
      <c r="C2822" s="1" t="str">
        <f t="shared" si="477"/>
        <v>Закрито</v>
      </c>
      <c r="D282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22" s="1" t="str">
        <f>"Земельні питання"</f>
        <v>Земельні питання</v>
      </c>
      <c r="F28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22" s="1" t="str">
        <f>"14"</f>
        <v>14</v>
      </c>
      <c r="H2822" s="1" t="str">
        <f>"Результат"</f>
        <v>Результат</v>
      </c>
      <c r="I2822" s="1" t="str">
        <f>"Позитивний"</f>
        <v>Позитивний</v>
      </c>
      <c r="J2822" s="1" t="str">
        <f t="shared" ref="J2822:J2827" si="478">"Ні"</f>
        <v>Ні</v>
      </c>
    </row>
    <row r="2823" spans="1:10" ht="135" x14ac:dyDescent="0.25">
      <c r="A2823" s="1" t="str">
        <f>"2854-2020/27"</f>
        <v>2854-2020/27</v>
      </c>
      <c r="B2823" s="1" t="str">
        <f t="shared" si="476"/>
        <v>09.06.2020</v>
      </c>
      <c r="C2823" s="1" t="str">
        <f t="shared" si="477"/>
        <v>Закрито</v>
      </c>
      <c r="D28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23" s="1" t="str">
        <f>"Земельні питання"</f>
        <v>Земельні питання</v>
      </c>
      <c r="F28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23" s="1" t="str">
        <f>"1"</f>
        <v>1</v>
      </c>
      <c r="H2823" s="1" t="str">
        <f>"Результат"</f>
        <v>Результат</v>
      </c>
      <c r="I2823" s="1" t="str">
        <f>"Позитивний"</f>
        <v>Позитивний</v>
      </c>
      <c r="J2823" s="1" t="str">
        <f t="shared" si="478"/>
        <v>Ні</v>
      </c>
    </row>
    <row r="2824" spans="1:10" ht="120" x14ac:dyDescent="0.25">
      <c r="A2824" s="1" t="str">
        <f>"2856-2020/27"</f>
        <v>2856-2020/27</v>
      </c>
      <c r="B2824" s="1" t="str">
        <f t="shared" si="476"/>
        <v>09.06.2020</v>
      </c>
      <c r="C2824" s="1" t="str">
        <f t="shared" si="477"/>
        <v>Закрито</v>
      </c>
      <c r="D2824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824" s="1" t="str">
        <f>"Будівництво"</f>
        <v>Будівництво</v>
      </c>
      <c r="F282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24" s="1" t="str">
        <f>"10"</f>
        <v>10</v>
      </c>
      <c r="H2824" s="1" t="str">
        <f>"Результат"</f>
        <v>Результат</v>
      </c>
      <c r="I2824" s="1" t="str">
        <f>"Позитивний"</f>
        <v>Позитивний</v>
      </c>
      <c r="J2824" s="1" t="str">
        <f t="shared" si="478"/>
        <v>Ні</v>
      </c>
    </row>
    <row r="2825" spans="1:10" ht="120" x14ac:dyDescent="0.25">
      <c r="A2825" s="1" t="str">
        <f>"2842-2020/27"</f>
        <v>2842-2020/27</v>
      </c>
      <c r="B2825" s="1" t="str">
        <f t="shared" si="476"/>
        <v>09.06.2020</v>
      </c>
      <c r="C2825" s="1" t="str">
        <f t="shared" si="477"/>
        <v>Закрито</v>
      </c>
      <c r="D282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825" s="1" t="str">
        <f>"Будівництво"</f>
        <v>Будівництво</v>
      </c>
      <c r="F282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25" s="1" t="str">
        <f>"10"</f>
        <v>10</v>
      </c>
      <c r="H2825" s="1" t="str">
        <f>"Результат"</f>
        <v>Результат</v>
      </c>
      <c r="I2825" s="1" t="str">
        <f>"Позитивний"</f>
        <v>Позитивний</v>
      </c>
      <c r="J2825" s="1" t="str">
        <f t="shared" si="478"/>
        <v>Ні</v>
      </c>
    </row>
    <row r="2826" spans="1:10" ht="225" x14ac:dyDescent="0.25">
      <c r="A2826" s="1" t="str">
        <f>"2838-2020/27"</f>
        <v>2838-2020/27</v>
      </c>
      <c r="B2826" s="1" t="str">
        <f t="shared" si="476"/>
        <v>09.06.2020</v>
      </c>
      <c r="C2826" s="1" t="str">
        <f t="shared" si="477"/>
        <v>Закрито</v>
      </c>
      <c r="D2826" s="1" t="s">
        <v>0</v>
      </c>
      <c r="E2826" s="1" t="str">
        <f>"Будівництво"</f>
        <v>Будівництво</v>
      </c>
      <c r="F282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26" s="1" t="str">
        <f>"10"</f>
        <v>10</v>
      </c>
      <c r="H2826" s="1" t="str">
        <f>"Результат"</f>
        <v>Результат</v>
      </c>
      <c r="I2826" s="1" t="str">
        <f>"Позитивний"</f>
        <v>Позитивний</v>
      </c>
      <c r="J2826" s="1" t="str">
        <f t="shared" si="478"/>
        <v>Ні</v>
      </c>
    </row>
    <row r="2827" spans="1:10" ht="90" x14ac:dyDescent="0.25">
      <c r="A2827" s="1" t="str">
        <f>"2836-2020/27"</f>
        <v>2836-2020/27</v>
      </c>
      <c r="B2827" s="1" t="str">
        <f t="shared" si="476"/>
        <v>09.06.2020</v>
      </c>
      <c r="C2827" s="1" t="str">
        <f t="shared" si="477"/>
        <v>Закрито</v>
      </c>
      <c r="D282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27" s="1" t="str">
        <f>"Інші послуги"</f>
        <v>Інші послуги</v>
      </c>
      <c r="F282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27" s="1" t="str">
        <f>"5"</f>
        <v>5</v>
      </c>
      <c r="H2827" s="1" t="str">
        <f>"Результат"</f>
        <v>Результат</v>
      </c>
      <c r="I2827" s="1" t="str">
        <f>"Позитивний"</f>
        <v>Позитивний</v>
      </c>
      <c r="J2827" s="1" t="str">
        <f t="shared" si="478"/>
        <v>Ні</v>
      </c>
    </row>
    <row r="2828" spans="1:10" ht="135" x14ac:dyDescent="0.25">
      <c r="A2828" s="1" t="str">
        <f>"2866-2020/27"</f>
        <v>2866-2020/27</v>
      </c>
      <c r="B2828" s="1" t="str">
        <f t="shared" si="476"/>
        <v>09.06.2020</v>
      </c>
      <c r="C2828" s="1" t="str">
        <f t="shared" si="477"/>
        <v>Закрито</v>
      </c>
      <c r="D2828" s="1" t="str">
        <f>"Надання відомостей з Державного земельного кадастру у формі витягу з Державного земельного кадастру про обмеження у використанні земель"</f>
        <v>Надання відомостей з Державного земельного кадастру у формі витягу з Державного земельного кадастру про обмеження у використанні земель</v>
      </c>
      <c r="E2828" s="1" t="str">
        <f>"Земельні питання"</f>
        <v>Земельні питання</v>
      </c>
      <c r="F28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28" s="1" t="str">
        <f>"10"</f>
        <v>10</v>
      </c>
      <c r="H2828" s="1" t="str">
        <f>"Результат"</f>
        <v>Результат</v>
      </c>
      <c r="I2828" s="1" t="str">
        <f>"Позитивний"</f>
        <v>Позитивний</v>
      </c>
      <c r="J2828" s="1" t="str">
        <f>"Так"</f>
        <v>Так</v>
      </c>
    </row>
    <row r="2829" spans="1:10" ht="135" x14ac:dyDescent="0.25">
      <c r="A2829" s="1" t="str">
        <f>"2863-2020/27"</f>
        <v>2863-2020/27</v>
      </c>
      <c r="B2829" s="1" t="str">
        <f t="shared" si="476"/>
        <v>09.06.2020</v>
      </c>
      <c r="C2829" s="1" t="str">
        <f t="shared" si="477"/>
        <v>Закрито</v>
      </c>
      <c r="D282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29" s="1" t="str">
        <f>"Земельні питання"</f>
        <v>Земельні питання</v>
      </c>
      <c r="F282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29" s="1" t="str">
        <f>"14"</f>
        <v>14</v>
      </c>
      <c r="H2829" s="1" t="str">
        <f>"Результат"</f>
        <v>Результат</v>
      </c>
      <c r="I2829" s="1" t="str">
        <f>"Позитивний"</f>
        <v>Позитивний</v>
      </c>
      <c r="J2829" s="1" t="str">
        <f>"Ні"</f>
        <v>Ні</v>
      </c>
    </row>
    <row r="2830" spans="1:10" ht="135" x14ac:dyDescent="0.25">
      <c r="A2830" s="1" t="str">
        <f>"2860-2020/27"</f>
        <v>2860-2020/27</v>
      </c>
      <c r="B2830" s="1" t="str">
        <f t="shared" si="476"/>
        <v>09.06.2020</v>
      </c>
      <c r="C2830" s="1" t="str">
        <f t="shared" si="477"/>
        <v>Закрито</v>
      </c>
      <c r="D283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30" s="1" t="str">
        <f>"Земельні питання"</f>
        <v>Земельні питання</v>
      </c>
      <c r="F283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30" s="1" t="str">
        <f>"14"</f>
        <v>14</v>
      </c>
      <c r="H2830" s="1" t="str">
        <f>"Результат"</f>
        <v>Результат</v>
      </c>
      <c r="I2830" s="1" t="str">
        <f>"Позитивний"</f>
        <v>Позитивний</v>
      </c>
      <c r="J2830" s="1" t="str">
        <f>"Ні"</f>
        <v>Ні</v>
      </c>
    </row>
    <row r="2831" spans="1:10" ht="135" x14ac:dyDescent="0.25">
      <c r="A2831" s="1" t="str">
        <f>"2851-2020/27"</f>
        <v>2851-2020/27</v>
      </c>
      <c r="B2831" s="1" t="str">
        <f t="shared" si="476"/>
        <v>09.06.2020</v>
      </c>
      <c r="C2831" s="1" t="str">
        <f t="shared" si="477"/>
        <v>Закрито</v>
      </c>
      <c r="D283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31" s="1" t="str">
        <f>"Земельні питання"</f>
        <v>Земельні питання</v>
      </c>
      <c r="F28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31" s="1" t="str">
        <f>"1"</f>
        <v>1</v>
      </c>
      <c r="H2831" s="1" t="str">
        <f>"Результат"</f>
        <v>Результат</v>
      </c>
      <c r="I2831" s="1" t="str">
        <f>"Позитивний"</f>
        <v>Позитивний</v>
      </c>
      <c r="J2831" s="1" t="str">
        <f>"Так"</f>
        <v>Так</v>
      </c>
    </row>
    <row r="2832" spans="1:10" ht="45" x14ac:dyDescent="0.25">
      <c r="A2832" s="1" t="str">
        <f>"2830-2020/27"</f>
        <v>2830-2020/27</v>
      </c>
      <c r="B2832" s="1" t="str">
        <f t="shared" si="476"/>
        <v>09.06.2020</v>
      </c>
      <c r="C2832" s="1" t="str">
        <f t="shared" si="477"/>
        <v>Закрито</v>
      </c>
      <c r="D2832" s="1" t="str">
        <f>"Реєстрація місця проживання особи"</f>
        <v>Реєстрація місця проживання особи</v>
      </c>
      <c r="E2832" s="1" t="str">
        <f>"Реєстрація місця проживання"</f>
        <v>Реєстрація місця проживання</v>
      </c>
      <c r="F2832" s="1" t="str">
        <f>"Відділ реєстрації Новокаховської міської ради"</f>
        <v>Відділ реєстрації Новокаховської міської ради</v>
      </c>
      <c r="G2832" s="1" t="str">
        <f>"1"</f>
        <v>1</v>
      </c>
      <c r="H2832" s="1" t="str">
        <f>"Результат"</f>
        <v>Результат</v>
      </c>
      <c r="I2832" s="1" t="str">
        <f>"Позитивний"</f>
        <v>Позитивний</v>
      </c>
      <c r="J2832" s="1" t="str">
        <f>"Так"</f>
        <v>Так</v>
      </c>
    </row>
    <row r="2833" spans="1:10" ht="105" x14ac:dyDescent="0.25">
      <c r="A2833" s="1" t="str">
        <f>"2870-2020/27"</f>
        <v>2870-2020/27</v>
      </c>
      <c r="B2833" s="1" t="str">
        <f t="shared" si="476"/>
        <v>09.06.2020</v>
      </c>
      <c r="C2833" s="1" t="str">
        <f t="shared" si="477"/>
        <v>Закрито</v>
      </c>
      <c r="D28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33" s="1" t="str">
        <f>"Земельні питання"</f>
        <v>Земельні питання</v>
      </c>
      <c r="F283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33" s="1" t="str">
        <f>"1"</f>
        <v>1</v>
      </c>
      <c r="H2833" s="1" t="str">
        <f>"Результат"</f>
        <v>Результат</v>
      </c>
      <c r="I2833" s="1" t="str">
        <f>"Позитивний"</f>
        <v>Позитивний</v>
      </c>
      <c r="J2833" s="1" t="str">
        <f>"Ні"</f>
        <v>Ні</v>
      </c>
    </row>
    <row r="2834" spans="1:10" ht="45" x14ac:dyDescent="0.25">
      <c r="A2834" s="1" t="str">
        <f>"2855-2020/27"</f>
        <v>2855-2020/27</v>
      </c>
      <c r="B2834" s="1" t="str">
        <f t="shared" si="476"/>
        <v>09.06.2020</v>
      </c>
      <c r="C2834" s="1" t="str">
        <f t="shared" si="477"/>
        <v>Закрито</v>
      </c>
      <c r="D2834" s="1" t="str">
        <f>"Зняття з реєстрації місця проживання"</f>
        <v>Зняття з реєстрації місця проживання</v>
      </c>
      <c r="E2834" s="1" t="str">
        <f>"Реєстрація місця проживання"</f>
        <v>Реєстрація місця проживання</v>
      </c>
      <c r="F2834" s="1" t="str">
        <f>"Відділ реєстрації Новокаховської міської ради"</f>
        <v>Відділ реєстрації Новокаховської міської ради</v>
      </c>
      <c r="G2834" s="1" t="str">
        <f>"1"</f>
        <v>1</v>
      </c>
      <c r="H2834" s="1" t="str">
        <f>"Результат"</f>
        <v>Результат</v>
      </c>
      <c r="I2834" s="1" t="str">
        <f>"Позитивний"</f>
        <v>Позитивний</v>
      </c>
      <c r="J2834" s="1" t="str">
        <f>"Так"</f>
        <v>Так</v>
      </c>
    </row>
    <row r="2835" spans="1:10" ht="45" x14ac:dyDescent="0.25">
      <c r="A2835" s="1" t="str">
        <f>"2847-2020/27"</f>
        <v>2847-2020/27</v>
      </c>
      <c r="B2835" s="1" t="str">
        <f t="shared" si="476"/>
        <v>09.06.2020</v>
      </c>
      <c r="C2835" s="1" t="str">
        <f t="shared" si="477"/>
        <v>Закрито</v>
      </c>
      <c r="D2835" s="1" t="str">
        <f>"Видача дозволу на порушення об’єктів благоустрою"</f>
        <v>Видача дозволу на порушення об’єктів благоустрою</v>
      </c>
      <c r="E2835" s="1" t="str">
        <f>"Об’єкти благоустрою"</f>
        <v>Об’єкти благоустрою</v>
      </c>
      <c r="F2835" s="1" t="str">
        <f>"Виконавчий комітет Новокаховської міської ради"</f>
        <v>Виконавчий комітет Новокаховської міської ради</v>
      </c>
      <c r="G2835" s="1" t="str">
        <f>"10"</f>
        <v>10</v>
      </c>
      <c r="H2835" s="1" t="str">
        <f>"Результат"</f>
        <v>Результат</v>
      </c>
      <c r="I2835" s="1" t="str">
        <f>"Позитивний"</f>
        <v>Позитивний</v>
      </c>
      <c r="J2835" s="1" t="str">
        <f>"Ні"</f>
        <v>Ні</v>
      </c>
    </row>
    <row r="2836" spans="1:10" ht="45" x14ac:dyDescent="0.25">
      <c r="A2836" s="1" t="str">
        <f>"2829-2020/27"</f>
        <v>2829-2020/27</v>
      </c>
      <c r="B2836" s="1" t="str">
        <f t="shared" si="476"/>
        <v>09.06.2020</v>
      </c>
      <c r="C2836" s="1" t="str">
        <f t="shared" si="477"/>
        <v>Закрито</v>
      </c>
      <c r="D2836" s="1" t="str">
        <f>"Зняття з реєстрації місця проживання"</f>
        <v>Зняття з реєстрації місця проживання</v>
      </c>
      <c r="E2836" s="1" t="str">
        <f>"Реєстрація місця проживання"</f>
        <v>Реєстрація місця проживання</v>
      </c>
      <c r="F2836" s="1" t="str">
        <f>"Відділ реєстрації Новокаховської міської ради"</f>
        <v>Відділ реєстрації Новокаховської міської ради</v>
      </c>
      <c r="G2836" s="1" t="str">
        <f>"1"</f>
        <v>1</v>
      </c>
      <c r="H2836" s="1" t="str">
        <f>"Результат"</f>
        <v>Результат</v>
      </c>
      <c r="I2836" s="1" t="str">
        <f>"Позитивний"</f>
        <v>Позитивний</v>
      </c>
      <c r="J2836" s="1" t="str">
        <f>"Так"</f>
        <v>Так</v>
      </c>
    </row>
    <row r="2837" spans="1:10" ht="135" x14ac:dyDescent="0.25">
      <c r="A2837" s="1" t="str">
        <f>"2861-2020/27"</f>
        <v>2861-2020/27</v>
      </c>
      <c r="B2837" s="1" t="str">
        <f t="shared" si="476"/>
        <v>09.06.2020</v>
      </c>
      <c r="C2837" s="1" t="str">
        <f t="shared" si="477"/>
        <v>Закрито</v>
      </c>
      <c r="D2837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37" s="1" t="str">
        <f>"Земельні питання"</f>
        <v>Земельні питання</v>
      </c>
      <c r="F283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37" s="1" t="str">
        <f>"14"</f>
        <v>14</v>
      </c>
      <c r="H2837" s="1" t="str">
        <f>"Результат"</f>
        <v>Результат</v>
      </c>
      <c r="I2837" s="1" t="str">
        <f>"Позитивний"</f>
        <v>Позитивний</v>
      </c>
      <c r="J2837" s="1" t="str">
        <f>"Ні"</f>
        <v>Ні</v>
      </c>
    </row>
    <row r="2838" spans="1:10" ht="225" x14ac:dyDescent="0.25">
      <c r="A2838" s="1" t="str">
        <f>"2841-2020/27"</f>
        <v>2841-2020/27</v>
      </c>
      <c r="B2838" s="1" t="str">
        <f t="shared" si="476"/>
        <v>09.06.2020</v>
      </c>
      <c r="C2838" s="1" t="str">
        <f>"Закрито"</f>
        <v>Закрито</v>
      </c>
      <c r="D2838" s="1" t="s">
        <v>1</v>
      </c>
      <c r="E2838" s="1" t="str">
        <f>"Будівництво"</f>
        <v>Будівництво</v>
      </c>
      <c r="F283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38" s="1" t="str">
        <f>"30"</f>
        <v>30</v>
      </c>
      <c r="H2838" s="1" t="str">
        <f>"Результат"</f>
        <v>Результат</v>
      </c>
      <c r="I2838" s="1" t="str">
        <f>"Позитивний"</f>
        <v>Позитивний</v>
      </c>
      <c r="J2838" s="1" t="str">
        <f>"Ні"</f>
        <v>Ні</v>
      </c>
    </row>
    <row r="2839" spans="1:10" ht="105" x14ac:dyDescent="0.25">
      <c r="A2839" s="1" t="str">
        <f>"2868-2020/27"</f>
        <v>2868-2020/27</v>
      </c>
      <c r="B2839" s="1" t="str">
        <f t="shared" si="476"/>
        <v>09.06.2020</v>
      </c>
      <c r="C2839" s="1" t="str">
        <f>"Закрито"</f>
        <v>Закрито</v>
      </c>
      <c r="D283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39" s="1" t="str">
        <f>"Земельні питання"</f>
        <v>Земельні питання</v>
      </c>
      <c r="F283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39" s="1" t="str">
        <f>"1"</f>
        <v>1</v>
      </c>
      <c r="H2839" s="1" t="str">
        <f>"Результат"</f>
        <v>Результат</v>
      </c>
      <c r="I2839" s="1" t="str">
        <f>"Позитивний"</f>
        <v>Позитивний</v>
      </c>
      <c r="J2839" s="1" t="str">
        <f>"Так"</f>
        <v>Так</v>
      </c>
    </row>
    <row r="2840" spans="1:10" ht="135" x14ac:dyDescent="0.25">
      <c r="A2840" s="1" t="str">
        <f>"2850-2020/27"</f>
        <v>2850-2020/27</v>
      </c>
      <c r="B2840" s="1" t="str">
        <f t="shared" si="476"/>
        <v>09.06.2020</v>
      </c>
      <c r="C2840" s="1" t="str">
        <f>"Закрито"</f>
        <v>Закрито</v>
      </c>
      <c r="D284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40" s="1" t="str">
        <f>"Земельні питання"</f>
        <v>Земельні питання</v>
      </c>
      <c r="F28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40" s="1" t="str">
        <f>"14"</f>
        <v>14</v>
      </c>
      <c r="H2840" s="1" t="str">
        <f>"Результат"</f>
        <v>Результат</v>
      </c>
      <c r="I2840" s="1" t="str">
        <f>"Позитивний"</f>
        <v>Позитивний</v>
      </c>
      <c r="J2840" s="1" t="str">
        <f>"Ні"</f>
        <v>Ні</v>
      </c>
    </row>
    <row r="2841" spans="1:10" ht="105" x14ac:dyDescent="0.25">
      <c r="A2841" s="1" t="str">
        <f>"2853-2020/27"</f>
        <v>2853-2020/27</v>
      </c>
      <c r="B2841" s="1" t="str">
        <f t="shared" si="476"/>
        <v>09.06.2020</v>
      </c>
      <c r="C2841" s="1" t="str">
        <f>"Закрито"</f>
        <v>Закрито</v>
      </c>
      <c r="D284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41" s="1" t="str">
        <f>"Земельні питання"</f>
        <v>Земельні питання</v>
      </c>
      <c r="F284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41" s="1" t="str">
        <f>"1"</f>
        <v>1</v>
      </c>
      <c r="H2841" s="1" t="str">
        <f>"Результат"</f>
        <v>Результат</v>
      </c>
      <c r="I2841" s="1" t="str">
        <f>"Позитивний"</f>
        <v>Позитивний</v>
      </c>
      <c r="J2841" s="1" t="str">
        <f>"Так"</f>
        <v>Так</v>
      </c>
    </row>
    <row r="2842" spans="1:10" ht="105" x14ac:dyDescent="0.25">
      <c r="A2842" s="1" t="str">
        <f>"2840-2020/27"</f>
        <v>2840-2020/27</v>
      </c>
      <c r="B2842" s="1" t="str">
        <f t="shared" si="476"/>
        <v>09.06.2020</v>
      </c>
      <c r="C2842" s="1" t="str">
        <f t="shared" ref="C2842:C2843" si="479">"Закрито"</f>
        <v>Закрито</v>
      </c>
      <c r="D2842" s="1" t="str">
        <f>"Реєстрація декларації про готовність об’єкта до експлуатації, будівельні роботи на якому виконувались на підставі будівельного паспорту"</f>
        <v>Реєстрація декларації про готовність об’єкта до експлуатації, будівельні роботи на якому виконувались на підставі будівельного паспорту</v>
      </c>
      <c r="E2842" s="1" t="str">
        <f>"Будівництво"</f>
        <v>Будівництво</v>
      </c>
      <c r="F284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42" s="1" t="str">
        <f>"10"</f>
        <v>10</v>
      </c>
      <c r="H2842" s="1" t="str">
        <f>"Результат"</f>
        <v>Результат</v>
      </c>
      <c r="I2842" s="1" t="str">
        <f>"Позитивний"</f>
        <v>Позитивний</v>
      </c>
      <c r="J2842" s="1" t="str">
        <f>"Ні"</f>
        <v>Ні</v>
      </c>
    </row>
    <row r="2843" spans="1:10" ht="225" x14ac:dyDescent="0.25">
      <c r="A2843" s="1" t="str">
        <f>"2843-2020/27"</f>
        <v>2843-2020/27</v>
      </c>
      <c r="B2843" s="1" t="str">
        <f t="shared" si="476"/>
        <v>09.06.2020</v>
      </c>
      <c r="C2843" s="1" t="str">
        <f t="shared" si="479"/>
        <v>Закрито</v>
      </c>
      <c r="D2843" s="1" t="s">
        <v>1</v>
      </c>
      <c r="E2843" s="1" t="str">
        <f>"Будівництво"</f>
        <v>Будівництво</v>
      </c>
      <c r="F284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43" s="1" t="str">
        <f>"30"</f>
        <v>30</v>
      </c>
      <c r="H2843" s="1" t="str">
        <f>"Результат"</f>
        <v>Результат</v>
      </c>
      <c r="I2843" s="1" t="str">
        <f>"Позитивний"</f>
        <v>Позитивний</v>
      </c>
      <c r="J2843" s="1" t="str">
        <f>"Ні"</f>
        <v>Ні</v>
      </c>
    </row>
    <row r="2844" spans="1:10" ht="135" x14ac:dyDescent="0.25">
      <c r="A2844" s="1" t="str">
        <f>"2857-2020/27"</f>
        <v>2857-2020/27</v>
      </c>
      <c r="B2844" s="1" t="str">
        <f t="shared" si="476"/>
        <v>09.06.2020</v>
      </c>
      <c r="C2844" s="1" t="str">
        <f>"Закрито"</f>
        <v>Закрито</v>
      </c>
      <c r="D284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44" s="1" t="str">
        <f>"Земельні питання"</f>
        <v>Земельні питання</v>
      </c>
      <c r="F284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44" s="1" t="str">
        <f>"3"</f>
        <v>3</v>
      </c>
      <c r="H2844" s="1" t="str">
        <f>"Результат"</f>
        <v>Результат</v>
      </c>
      <c r="I2844" s="1" t="str">
        <f>"Позитивний"</f>
        <v>Позитивний</v>
      </c>
      <c r="J2844" s="1" t="str">
        <f>"Ні"</f>
        <v>Ні</v>
      </c>
    </row>
    <row r="2845" spans="1:10" ht="120" x14ac:dyDescent="0.25">
      <c r="A2845" s="1" t="str">
        <f>"2845-2020/27"</f>
        <v>2845-2020/27</v>
      </c>
      <c r="B2845" s="1" t="str">
        <f t="shared" si="476"/>
        <v>09.06.2020</v>
      </c>
      <c r="C2845" s="1" t="str">
        <f>"Закрито"</f>
        <v>Закрито</v>
      </c>
      <c r="D284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845" s="1" t="str">
        <f>"Будівництво"</f>
        <v>Будівництво</v>
      </c>
      <c r="F284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45" s="1" t="str">
        <f>"10"</f>
        <v>10</v>
      </c>
      <c r="H2845" s="1" t="str">
        <f>"Результат"</f>
        <v>Результат</v>
      </c>
      <c r="I2845" s="1" t="str">
        <f>"Позитивний"</f>
        <v>Позитивний</v>
      </c>
      <c r="J2845" s="1" t="str">
        <f>"Ні"</f>
        <v>Ні</v>
      </c>
    </row>
    <row r="2846" spans="1:10" ht="45" x14ac:dyDescent="0.25">
      <c r="A2846" s="1" t="str">
        <f>"2887-2020/27"</f>
        <v>2887-2020/27</v>
      </c>
      <c r="B2846" s="1" t="str">
        <f t="shared" ref="B2846:B2873" si="480">"10.06.2020"</f>
        <v>10.06.2020</v>
      </c>
      <c r="C2846" s="1" t="str">
        <f>"Закрито"</f>
        <v>Закрито</v>
      </c>
      <c r="D2846" s="1" t="str">
        <f>"Зняття з реєстрації місця проживання"</f>
        <v>Зняття з реєстрації місця проживання</v>
      </c>
      <c r="E2846" s="1" t="str">
        <f>"Реєстрація місця проживання"</f>
        <v>Реєстрація місця проживання</v>
      </c>
      <c r="F2846" s="1" t="str">
        <f>"Відділ реєстрації Новокаховської міської ради"</f>
        <v>Відділ реєстрації Новокаховської міської ради</v>
      </c>
      <c r="G2846" s="1" t="str">
        <f>"1"</f>
        <v>1</v>
      </c>
      <c r="H2846" s="1" t="str">
        <f>"Результат"</f>
        <v>Результат</v>
      </c>
      <c r="I2846" s="1" t="str">
        <f>"Позитивний"</f>
        <v>Позитивний</v>
      </c>
      <c r="J2846" s="1" t="str">
        <f>"Так"</f>
        <v>Так</v>
      </c>
    </row>
    <row r="2847" spans="1:10" ht="90" x14ac:dyDescent="0.25">
      <c r="A2847" s="1" t="str">
        <f>"2888-2020/27"</f>
        <v>2888-2020/27</v>
      </c>
      <c r="B2847" s="1" t="str">
        <f t="shared" si="480"/>
        <v>10.06.2020</v>
      </c>
      <c r="C2847" s="1" t="str">
        <f>"Закрито"</f>
        <v>Закрито</v>
      </c>
      <c r="D284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47" s="1" t="str">
        <f>"Інші послуги"</f>
        <v>Інші послуги</v>
      </c>
      <c r="F284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47" s="1" t="str">
        <f>"5"</f>
        <v>5</v>
      </c>
      <c r="H2847" s="1" t="str">
        <f>"Результат"</f>
        <v>Результат</v>
      </c>
      <c r="I2847" s="1" t="str">
        <f>"Позитивний"</f>
        <v>Позитивний</v>
      </c>
      <c r="J2847" s="1" t="str">
        <f>"Ні"</f>
        <v>Ні</v>
      </c>
    </row>
    <row r="2848" spans="1:10" ht="225" x14ac:dyDescent="0.25">
      <c r="A2848" s="1" t="str">
        <f>"2892-2020/27"</f>
        <v>2892-2020/27</v>
      </c>
      <c r="B2848" s="1" t="str">
        <f t="shared" si="480"/>
        <v>10.06.2020</v>
      </c>
      <c r="C2848" s="1" t="str">
        <f t="shared" ref="C2848:C2861" si="481">"Закрито"</f>
        <v>Закрито</v>
      </c>
      <c r="D2848" s="1" t="s">
        <v>1</v>
      </c>
      <c r="E2848" s="1" t="str">
        <f>"Будівництво"</f>
        <v>Будівництво</v>
      </c>
      <c r="F2848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48" s="1" t="str">
        <f>"30"</f>
        <v>30</v>
      </c>
      <c r="H2848" s="1" t="str">
        <f>"Результат"</f>
        <v>Результат</v>
      </c>
      <c r="I2848" s="1" t="str">
        <f>"Позитивний"</f>
        <v>Позитивний</v>
      </c>
      <c r="J2848" s="1" t="str">
        <f>"Ні"</f>
        <v>Ні</v>
      </c>
    </row>
    <row r="2849" spans="1:10" ht="45" x14ac:dyDescent="0.25">
      <c r="A2849" s="1" t="str">
        <f>"2897-2020/27"</f>
        <v>2897-2020/27</v>
      </c>
      <c r="B2849" s="1" t="str">
        <f t="shared" si="480"/>
        <v>10.06.2020</v>
      </c>
      <c r="C2849" s="1" t="str">
        <f t="shared" si="481"/>
        <v>Закрито</v>
      </c>
      <c r="D2849" s="1" t="str">
        <f>"Зняття з реєстрації місця проживання"</f>
        <v>Зняття з реєстрації місця проживання</v>
      </c>
      <c r="E2849" s="1" t="str">
        <f>"Реєстрація місця проживання"</f>
        <v>Реєстрація місця проживання</v>
      </c>
      <c r="F2849" s="1" t="str">
        <f>"Відділ реєстрації Новокаховської міської ради"</f>
        <v>Відділ реєстрації Новокаховської міської ради</v>
      </c>
      <c r="G2849" s="1" t="str">
        <f t="shared" ref="G2849:G2854" si="482">"1"</f>
        <v>1</v>
      </c>
      <c r="H2849" s="1" t="str">
        <f>"Результат"</f>
        <v>Результат</v>
      </c>
      <c r="I2849" s="1" t="str">
        <f>"Позитивний"</f>
        <v>Позитивний</v>
      </c>
      <c r="J2849" s="1" t="str">
        <f t="shared" ref="J2849:J2854" si="483">"Так"</f>
        <v>Так</v>
      </c>
    </row>
    <row r="2850" spans="1:10" ht="45" x14ac:dyDescent="0.25">
      <c r="A2850" s="1" t="str">
        <f>"2879-2020/27"</f>
        <v>2879-2020/27</v>
      </c>
      <c r="B2850" s="1" t="str">
        <f t="shared" si="480"/>
        <v>10.06.2020</v>
      </c>
      <c r="C2850" s="1" t="str">
        <f t="shared" si="481"/>
        <v>Закрито</v>
      </c>
      <c r="D2850" s="1" t="str">
        <f>"Реєстрація місця проживання особи"</f>
        <v>Реєстрація місця проживання особи</v>
      </c>
      <c r="E2850" s="1" t="str">
        <f>"Реєстрація місця проживання"</f>
        <v>Реєстрація місця проживання</v>
      </c>
      <c r="F2850" s="1" t="str">
        <f>"Відділ реєстрації Новокаховської міської ради"</f>
        <v>Відділ реєстрації Новокаховської міської ради</v>
      </c>
      <c r="G2850" s="1" t="str">
        <f t="shared" si="482"/>
        <v>1</v>
      </c>
      <c r="H2850" s="1" t="str">
        <f>"Результат"</f>
        <v>Результат</v>
      </c>
      <c r="I2850" s="1" t="str">
        <f>"Позитивний"</f>
        <v>Позитивний</v>
      </c>
      <c r="J2850" s="1" t="str">
        <f t="shared" si="483"/>
        <v>Так</v>
      </c>
    </row>
    <row r="2851" spans="1:10" ht="105" x14ac:dyDescent="0.25">
      <c r="A2851" s="1" t="str">
        <f>"2881-2020/27"</f>
        <v>2881-2020/27</v>
      </c>
      <c r="B2851" s="1" t="str">
        <f t="shared" si="480"/>
        <v>10.06.2020</v>
      </c>
      <c r="C2851" s="1" t="str">
        <f t="shared" si="481"/>
        <v>Закрито</v>
      </c>
      <c r="D285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51" s="1" t="str">
        <f>"Земельні питання"</f>
        <v>Земельні питання</v>
      </c>
      <c r="F2851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51" s="1" t="str">
        <f t="shared" si="482"/>
        <v>1</v>
      </c>
      <c r="H2851" s="1" t="str">
        <f>"Результат"</f>
        <v>Результат</v>
      </c>
      <c r="I2851" s="1" t="str">
        <f>"Позитивний"</f>
        <v>Позитивний</v>
      </c>
      <c r="J2851" s="1" t="str">
        <f t="shared" si="483"/>
        <v>Так</v>
      </c>
    </row>
    <row r="2852" spans="1:10" ht="45" x14ac:dyDescent="0.25">
      <c r="A2852" s="1" t="str">
        <f>"2886-2020/27"</f>
        <v>2886-2020/27</v>
      </c>
      <c r="B2852" s="1" t="str">
        <f t="shared" si="480"/>
        <v>10.06.2020</v>
      </c>
      <c r="C2852" s="1" t="str">
        <f t="shared" si="481"/>
        <v>Закрито</v>
      </c>
      <c r="D2852" s="1" t="str">
        <f>"Реєстрація місця проживання особи"</f>
        <v>Реєстрація місця проживання особи</v>
      </c>
      <c r="E2852" s="1" t="str">
        <f>"Реєстрація місця проживання"</f>
        <v>Реєстрація місця проживання</v>
      </c>
      <c r="F2852" s="1" t="str">
        <f>"Відділ реєстрації Новокаховської міської ради"</f>
        <v>Відділ реєстрації Новокаховської міської ради</v>
      </c>
      <c r="G2852" s="1" t="str">
        <f t="shared" si="482"/>
        <v>1</v>
      </c>
      <c r="H2852" s="1" t="str">
        <f>"Результат"</f>
        <v>Результат</v>
      </c>
      <c r="I2852" s="1" t="str">
        <f>"Позитивний"</f>
        <v>Позитивний</v>
      </c>
      <c r="J2852" s="1" t="str">
        <f t="shared" si="483"/>
        <v>Так</v>
      </c>
    </row>
    <row r="2853" spans="1:10" ht="45" x14ac:dyDescent="0.25">
      <c r="A2853" s="1" t="str">
        <f>"2876-2020/27"</f>
        <v>2876-2020/27</v>
      </c>
      <c r="B2853" s="1" t="str">
        <f t="shared" si="480"/>
        <v>10.06.2020</v>
      </c>
      <c r="C2853" s="1" t="str">
        <f t="shared" si="481"/>
        <v>Закрито</v>
      </c>
      <c r="D2853" s="1" t="str">
        <f>"Зняття з реєстрації місця проживання"</f>
        <v>Зняття з реєстрації місця проживання</v>
      </c>
      <c r="E2853" s="1" t="str">
        <f>"Реєстрація місця проживання"</f>
        <v>Реєстрація місця проживання</v>
      </c>
      <c r="F2853" s="1" t="str">
        <f>"Відділ реєстрації Новокаховської міської ради"</f>
        <v>Відділ реєстрації Новокаховської міської ради</v>
      </c>
      <c r="G2853" s="1" t="str">
        <f t="shared" si="482"/>
        <v>1</v>
      </c>
      <c r="H2853" s="1" t="str">
        <f>"Результат"</f>
        <v>Результат</v>
      </c>
      <c r="I2853" s="1" t="str">
        <f>"Позитивний"</f>
        <v>Позитивний</v>
      </c>
      <c r="J2853" s="1" t="str">
        <f t="shared" si="483"/>
        <v>Так</v>
      </c>
    </row>
    <row r="2854" spans="1:10" ht="45" x14ac:dyDescent="0.25">
      <c r="A2854" s="1" t="str">
        <f>"2874-2020/27"</f>
        <v>2874-2020/27</v>
      </c>
      <c r="B2854" s="1" t="str">
        <f t="shared" si="480"/>
        <v>10.06.2020</v>
      </c>
      <c r="C2854" s="1" t="str">
        <f t="shared" si="481"/>
        <v>Закрито</v>
      </c>
      <c r="D2854" s="1" t="str">
        <f>"Реєстрація місця проживання особи"</f>
        <v>Реєстрація місця проживання особи</v>
      </c>
      <c r="E2854" s="1" t="str">
        <f>"Реєстрація місця проживання"</f>
        <v>Реєстрація місця проживання</v>
      </c>
      <c r="F2854" s="1" t="str">
        <f>"Відділ реєстрації Новокаховської міської ради"</f>
        <v>Відділ реєстрації Новокаховської міської ради</v>
      </c>
      <c r="G2854" s="1" t="str">
        <f t="shared" si="482"/>
        <v>1</v>
      </c>
      <c r="H2854" s="1" t="str">
        <f>"Результат"</f>
        <v>Результат</v>
      </c>
      <c r="I2854" s="1" t="str">
        <f>"Позитивний"</f>
        <v>Позитивний</v>
      </c>
      <c r="J2854" s="1" t="str">
        <f t="shared" si="483"/>
        <v>Так</v>
      </c>
    </row>
    <row r="2855" spans="1:10" ht="90" x14ac:dyDescent="0.25">
      <c r="A2855" s="1" t="str">
        <f>"2894-2020/27"</f>
        <v>2894-2020/27</v>
      </c>
      <c r="B2855" s="1" t="str">
        <f t="shared" si="480"/>
        <v>10.06.2020</v>
      </c>
      <c r="C2855" s="1" t="str">
        <f t="shared" si="481"/>
        <v>Закрито</v>
      </c>
      <c r="D285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55" s="1" t="str">
        <f>"Інші послуги"</f>
        <v>Інші послуги</v>
      </c>
      <c r="F285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55" s="1" t="str">
        <f>"5"</f>
        <v>5</v>
      </c>
      <c r="H2855" s="1" t="str">
        <f>"Результат"</f>
        <v>Результат</v>
      </c>
      <c r="I2855" s="1" t="str">
        <f>"Позитивний"</f>
        <v>Позитивний</v>
      </c>
      <c r="J2855" s="1" t="str">
        <f>"Ні"</f>
        <v>Ні</v>
      </c>
    </row>
    <row r="2856" spans="1:10" ht="90" x14ac:dyDescent="0.25">
      <c r="A2856" s="1" t="str">
        <f>"2896-2020/27"</f>
        <v>2896-2020/27</v>
      </c>
      <c r="B2856" s="1" t="str">
        <f t="shared" si="480"/>
        <v>10.06.2020</v>
      </c>
      <c r="C2856" s="1" t="str">
        <f t="shared" si="481"/>
        <v>Закрито</v>
      </c>
      <c r="D285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56" s="1" t="str">
        <f>"Інші послуги"</f>
        <v>Інші послуги</v>
      </c>
      <c r="F285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56" s="1" t="str">
        <f>"5"</f>
        <v>5</v>
      </c>
      <c r="H2856" s="1" t="str">
        <f>"Результат"</f>
        <v>Результат</v>
      </c>
      <c r="I2856" s="1" t="str">
        <f>"Позитивний"</f>
        <v>Позитивний</v>
      </c>
      <c r="J2856" s="1" t="str">
        <f>"Ні"</f>
        <v>Ні</v>
      </c>
    </row>
    <row r="2857" spans="1:10" ht="135" x14ac:dyDescent="0.25">
      <c r="A2857" s="1" t="str">
        <f>"2901-2020/27"</f>
        <v>2901-2020/27</v>
      </c>
      <c r="B2857" s="1" t="str">
        <f t="shared" si="480"/>
        <v>10.06.2020</v>
      </c>
      <c r="C2857" s="1" t="str">
        <f t="shared" si="481"/>
        <v>Закрито</v>
      </c>
      <c r="D28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57" s="1" t="str">
        <f>"Земельні питання"</f>
        <v>Земельні питання</v>
      </c>
      <c r="F28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57" s="1" t="str">
        <f>"1"</f>
        <v>1</v>
      </c>
      <c r="H2857" s="1" t="str">
        <f>"Результат"</f>
        <v>Результат</v>
      </c>
      <c r="I2857" s="1" t="str">
        <f>"Позитивний"</f>
        <v>Позитивний</v>
      </c>
      <c r="J2857" s="1" t="str">
        <f>"Так"</f>
        <v>Так</v>
      </c>
    </row>
    <row r="2858" spans="1:10" ht="45" x14ac:dyDescent="0.25">
      <c r="A2858" s="1" t="str">
        <f>"2877-2020/27"</f>
        <v>2877-2020/27</v>
      </c>
      <c r="B2858" s="1" t="str">
        <f t="shared" si="480"/>
        <v>10.06.2020</v>
      </c>
      <c r="C2858" s="1" t="str">
        <f t="shared" si="481"/>
        <v>Закрито</v>
      </c>
      <c r="D2858" s="1" t="str">
        <f>"Реєстрація місця проживання особи"</f>
        <v>Реєстрація місця проживання особи</v>
      </c>
      <c r="E2858" s="1" t="str">
        <f>"Реєстрація місця проживання"</f>
        <v>Реєстрація місця проживання</v>
      </c>
      <c r="F2858" s="1" t="str">
        <f>"Відділ реєстрації Новокаховської міської ради"</f>
        <v>Відділ реєстрації Новокаховської міської ради</v>
      </c>
      <c r="G2858" s="1" t="str">
        <f>"1"</f>
        <v>1</v>
      </c>
      <c r="H2858" s="1" t="str">
        <f>"Результат"</f>
        <v>Результат</v>
      </c>
      <c r="I2858" s="1" t="str">
        <f>"Позитивний"</f>
        <v>Позитивний</v>
      </c>
      <c r="J2858" s="1" t="str">
        <f>"Так"</f>
        <v>Так</v>
      </c>
    </row>
    <row r="2859" spans="1:10" ht="90" x14ac:dyDescent="0.25">
      <c r="A2859" s="1" t="str">
        <f>"2883-2020/27"</f>
        <v>2883-2020/27</v>
      </c>
      <c r="B2859" s="1" t="str">
        <f t="shared" si="480"/>
        <v>10.06.2020</v>
      </c>
      <c r="C2859" s="1" t="str">
        <f t="shared" si="481"/>
        <v>Закрито</v>
      </c>
      <c r="D285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59" s="1" t="str">
        <f>"Інші послуги"</f>
        <v>Інші послуги</v>
      </c>
      <c r="F285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59" s="1" t="str">
        <f>"5"</f>
        <v>5</v>
      </c>
      <c r="H2859" s="1" t="str">
        <f>"Результат"</f>
        <v>Результат</v>
      </c>
      <c r="I2859" s="1" t="str">
        <f>"Позитивний"</f>
        <v>Позитивний</v>
      </c>
      <c r="J2859" s="1" t="str">
        <f>"Ні"</f>
        <v>Ні</v>
      </c>
    </row>
    <row r="2860" spans="1:10" ht="225" x14ac:dyDescent="0.25">
      <c r="A2860" s="1" t="str">
        <f>"2891-2020/27"</f>
        <v>2891-2020/27</v>
      </c>
      <c r="B2860" s="1" t="str">
        <f t="shared" si="480"/>
        <v>10.06.2020</v>
      </c>
      <c r="C2860" s="1" t="str">
        <f t="shared" si="481"/>
        <v>Закрито</v>
      </c>
      <c r="D2860" s="1" t="s">
        <v>1</v>
      </c>
      <c r="E2860" s="1" t="str">
        <f>"Будівництво"</f>
        <v>Будівництво</v>
      </c>
      <c r="F286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60" s="1" t="str">
        <f>"30"</f>
        <v>30</v>
      </c>
      <c r="H2860" s="1" t="str">
        <f>"Результат"</f>
        <v>Результат</v>
      </c>
      <c r="I2860" s="1" t="str">
        <f>"Позитивний"</f>
        <v>Позитивний</v>
      </c>
      <c r="J2860" s="1" t="str">
        <f>"Ні"</f>
        <v>Ні</v>
      </c>
    </row>
    <row r="2861" spans="1:10" ht="120" x14ac:dyDescent="0.25">
      <c r="A2861" s="1" t="str">
        <f>"2889-2020/27"</f>
        <v>2889-2020/27</v>
      </c>
      <c r="B2861" s="1" t="str">
        <f t="shared" si="480"/>
        <v>10.06.2020</v>
      </c>
      <c r="C2861" s="1" t="str">
        <f t="shared" si="481"/>
        <v>Закрито</v>
      </c>
      <c r="D2861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861" s="1" t="str">
        <f>"Будівництво"</f>
        <v>Будівництво</v>
      </c>
      <c r="F286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861" s="1" t="str">
        <f>"10"</f>
        <v>10</v>
      </c>
      <c r="H2861" s="1" t="str">
        <f>"Результат"</f>
        <v>Результат</v>
      </c>
      <c r="I2861" s="1" t="str">
        <f>"Позитивний"</f>
        <v>Позитивний</v>
      </c>
      <c r="J2861" s="1" t="str">
        <f>"Ні"</f>
        <v>Ні</v>
      </c>
    </row>
    <row r="2862" spans="1:10" ht="135" x14ac:dyDescent="0.25">
      <c r="A2862" s="1" t="str">
        <f>"2899-2020/27"</f>
        <v>2899-2020/27</v>
      </c>
      <c r="B2862" s="1" t="str">
        <f t="shared" si="480"/>
        <v>10.06.2020</v>
      </c>
      <c r="C2862" s="1" t="str">
        <f>"Закрито"</f>
        <v>Закрито</v>
      </c>
      <c r="D286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62" s="1" t="str">
        <f>"Земельні питання"</f>
        <v>Земельні питання</v>
      </c>
      <c r="F28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62" s="1" t="str">
        <f>"14"</f>
        <v>14</v>
      </c>
      <c r="H2862" s="1" t="str">
        <f>"Результат"</f>
        <v>Результат</v>
      </c>
      <c r="I2862" s="1" t="str">
        <f>"Позитивний"</f>
        <v>Позитивний</v>
      </c>
      <c r="J2862" s="1" t="str">
        <f>"Ні"</f>
        <v>Ні</v>
      </c>
    </row>
    <row r="2863" spans="1:10" ht="45" x14ac:dyDescent="0.25">
      <c r="A2863" s="1" t="str">
        <f>"2875-2020/27"</f>
        <v>2875-2020/27</v>
      </c>
      <c r="B2863" s="1" t="str">
        <f t="shared" si="480"/>
        <v>10.06.2020</v>
      </c>
      <c r="C2863" s="1" t="str">
        <f>"Закрито"</f>
        <v>Закрито</v>
      </c>
      <c r="D2863" s="1" t="str">
        <f>"Реєстрація місця проживання особи"</f>
        <v>Реєстрація місця проживання особи</v>
      </c>
      <c r="E2863" s="1" t="str">
        <f>"Реєстрація місця проживання"</f>
        <v>Реєстрація місця проживання</v>
      </c>
      <c r="F2863" s="1" t="str">
        <f>"Відділ реєстрації Новокаховської міської ради"</f>
        <v>Відділ реєстрації Новокаховської міської ради</v>
      </c>
      <c r="G2863" s="1" t="str">
        <f>"1"</f>
        <v>1</v>
      </c>
      <c r="H2863" s="1" t="str">
        <f>"Результат"</f>
        <v>Результат</v>
      </c>
      <c r="I2863" s="1" t="str">
        <f>"Позитивний"</f>
        <v>Позитивний</v>
      </c>
      <c r="J2863" s="1" t="str">
        <f>"Так"</f>
        <v>Так</v>
      </c>
    </row>
    <row r="2864" spans="1:10" ht="225" x14ac:dyDescent="0.25">
      <c r="A2864" s="1" t="str">
        <f>"2885-2020/27"</f>
        <v>2885-2020/27</v>
      </c>
      <c r="B2864" s="1" t="str">
        <f t="shared" si="480"/>
        <v>10.06.2020</v>
      </c>
      <c r="C2864" s="1" t="str">
        <f>"Закрито"</f>
        <v>Закрито</v>
      </c>
      <c r="D2864" s="1" t="str">
        <f>"Видача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ринків"</f>
        <v>Видача експлуатаційного дозволу операторам потужностей об’єктів, що провадить діяльність, пов’язану з виробництвом та/або зберіганням харчових продуктів тваринного походження, підконтрольних ветеринарній службі, та для агропродовольчих ринків</v>
      </c>
      <c r="E2864" s="1" t="str">
        <f>"Дозволи Держпродспоживслужби"</f>
        <v>Дозволи Держпродспоживслужби</v>
      </c>
      <c r="F2864" s="1" t="str">
        <f>"Управління Держпродспоживслужби в м. Новій Каховці"</f>
        <v>Управління Держпродспоживслужби в м. Новій Каховці</v>
      </c>
      <c r="G2864" s="1" t="str">
        <f>"30"</f>
        <v>30</v>
      </c>
      <c r="H2864" s="1" t="str">
        <f>"Результат"</f>
        <v>Результат</v>
      </c>
      <c r="I2864" s="1" t="str">
        <f>"Позитивний"</f>
        <v>Позитивний</v>
      </c>
      <c r="J2864" s="1" t="str">
        <f>"Ні"</f>
        <v>Ні</v>
      </c>
    </row>
    <row r="2865" spans="1:10" ht="45" x14ac:dyDescent="0.25">
      <c r="A2865" s="1" t="str">
        <f>"2878-2020/27"</f>
        <v>2878-2020/27</v>
      </c>
      <c r="B2865" s="1" t="str">
        <f t="shared" si="480"/>
        <v>10.06.2020</v>
      </c>
      <c r="C2865" s="1" t="str">
        <f t="shared" ref="C2865:C2911" si="484">"Закрито"</f>
        <v>Закрито</v>
      </c>
      <c r="D2865" s="1" t="str">
        <f>"Зняття з реєстрації місця проживання"</f>
        <v>Зняття з реєстрації місця проживання</v>
      </c>
      <c r="E2865" s="1" t="str">
        <f>"Реєстрація місця проживання"</f>
        <v>Реєстрація місця проживання</v>
      </c>
      <c r="F2865" s="1" t="str">
        <f>"Відділ реєстрації Новокаховської міської ради"</f>
        <v>Відділ реєстрації Новокаховської міської ради</v>
      </c>
      <c r="G2865" s="1" t="str">
        <f>"1"</f>
        <v>1</v>
      </c>
      <c r="H2865" s="1" t="str">
        <f>"Результат"</f>
        <v>Результат</v>
      </c>
      <c r="I2865" s="1" t="str">
        <f>"Позитивний"</f>
        <v>Позитивний</v>
      </c>
      <c r="J2865" s="1" t="str">
        <f>"Так"</f>
        <v>Так</v>
      </c>
    </row>
    <row r="2866" spans="1:10" ht="45" x14ac:dyDescent="0.25">
      <c r="A2866" s="1" t="str">
        <f>"2890-2020/27"</f>
        <v>2890-2020/27</v>
      </c>
      <c r="B2866" s="1" t="str">
        <f t="shared" si="480"/>
        <v>10.06.2020</v>
      </c>
      <c r="C2866" s="1" t="str">
        <f t="shared" si="484"/>
        <v>Закрито</v>
      </c>
      <c r="D2866" s="1" t="str">
        <f>"Зняття з реєстрації місця проживання"</f>
        <v>Зняття з реєстрації місця проживання</v>
      </c>
      <c r="E2866" s="1" t="str">
        <f>"Реєстрація місця проживання"</f>
        <v>Реєстрація місця проживання</v>
      </c>
      <c r="F2866" s="1" t="str">
        <f>"Відділ реєстрації Новокаховської міської ради"</f>
        <v>Відділ реєстрації Новокаховської міської ради</v>
      </c>
      <c r="G2866" s="1" t="str">
        <f>"1"</f>
        <v>1</v>
      </c>
      <c r="H2866" s="1" t="str">
        <f>"Результат"</f>
        <v>Результат</v>
      </c>
      <c r="I2866" s="1" t="str">
        <f>"Позитивний"</f>
        <v>Позитивний</v>
      </c>
      <c r="J2866" s="1" t="str">
        <f>"Так"</f>
        <v>Так</v>
      </c>
    </row>
    <row r="2867" spans="1:10" ht="105" x14ac:dyDescent="0.25">
      <c r="A2867" s="1" t="str">
        <f>"2880-2020/27"</f>
        <v>2880-2020/27</v>
      </c>
      <c r="B2867" s="1" t="str">
        <f t="shared" si="480"/>
        <v>10.06.2020</v>
      </c>
      <c r="C2867" s="1" t="str">
        <f t="shared" si="484"/>
        <v>Закрито</v>
      </c>
      <c r="D286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67" s="1" t="str">
        <f>"Земельні питання"</f>
        <v>Земельні питання</v>
      </c>
      <c r="F2867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67" s="1" t="str">
        <f>"1"</f>
        <v>1</v>
      </c>
      <c r="H2867" s="1" t="str">
        <f>"Результат"</f>
        <v>Результат</v>
      </c>
      <c r="I2867" s="1" t="str">
        <f>"Позитивний"</f>
        <v>Позитивний</v>
      </c>
      <c r="J2867" s="1" t="str">
        <f>"Так"</f>
        <v>Так</v>
      </c>
    </row>
    <row r="2868" spans="1:10" ht="45" x14ac:dyDescent="0.25">
      <c r="A2868" s="1" t="str">
        <f>"2895-2020/27"</f>
        <v>2895-2020/27</v>
      </c>
      <c r="B2868" s="1" t="str">
        <f t="shared" si="480"/>
        <v>10.06.2020</v>
      </c>
      <c r="C2868" s="1" t="str">
        <f t="shared" si="484"/>
        <v>Закрито</v>
      </c>
      <c r="D2868" s="1" t="str">
        <f>"Реєстрація місця проживання особи"</f>
        <v>Реєстрація місця проживання особи</v>
      </c>
      <c r="E2868" s="1" t="str">
        <f>"Реєстрація місця проживання"</f>
        <v>Реєстрація місця проживання</v>
      </c>
      <c r="F2868" s="1" t="str">
        <f>"Відділ реєстрації Новокаховської міської ради"</f>
        <v>Відділ реєстрації Новокаховської міської ради</v>
      </c>
      <c r="G2868" s="1" t="str">
        <f>"1"</f>
        <v>1</v>
      </c>
      <c r="H2868" s="1" t="str">
        <f>"Результат"</f>
        <v>Результат</v>
      </c>
      <c r="I2868" s="1" t="str">
        <f>"Позитивний"</f>
        <v>Позитивний</v>
      </c>
      <c r="J2868" s="1" t="str">
        <f>"Так"</f>
        <v>Так</v>
      </c>
    </row>
    <row r="2869" spans="1:10" ht="90" x14ac:dyDescent="0.25">
      <c r="A2869" s="1" t="str">
        <f>"2893-2020/27"</f>
        <v>2893-2020/27</v>
      </c>
      <c r="B2869" s="1" t="str">
        <f t="shared" si="480"/>
        <v>10.06.2020</v>
      </c>
      <c r="C2869" s="1" t="str">
        <f t="shared" si="484"/>
        <v>Закрито</v>
      </c>
      <c r="D286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69" s="1" t="str">
        <f>"Інші послуги"</f>
        <v>Інші послуги</v>
      </c>
      <c r="F286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69" s="1" t="str">
        <f>"5"</f>
        <v>5</v>
      </c>
      <c r="H2869" s="1" t="str">
        <f>"Результат"</f>
        <v>Результат</v>
      </c>
      <c r="I2869" s="1" t="str">
        <f>"Позитивний"</f>
        <v>Позитивний</v>
      </c>
      <c r="J2869" s="1" t="str">
        <f>"Ні"</f>
        <v>Ні</v>
      </c>
    </row>
    <row r="2870" spans="1:10" ht="90" x14ac:dyDescent="0.25">
      <c r="A2870" s="1" t="str">
        <f>"2882-2020/27"</f>
        <v>2882-2020/27</v>
      </c>
      <c r="B2870" s="1" t="str">
        <f t="shared" si="480"/>
        <v>10.06.2020</v>
      </c>
      <c r="C2870" s="1" t="str">
        <f t="shared" si="484"/>
        <v>Закрито</v>
      </c>
      <c r="D287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70" s="1" t="str">
        <f>"Інші послуги"</f>
        <v>Інші послуги</v>
      </c>
      <c r="F287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70" s="1" t="str">
        <f>"5"</f>
        <v>5</v>
      </c>
      <c r="H2870" s="1" t="str">
        <f>"Результат"</f>
        <v>Результат</v>
      </c>
      <c r="I2870" s="1" t="str">
        <f>"Позитивний"</f>
        <v>Позитивний</v>
      </c>
      <c r="J2870" s="1" t="str">
        <f>"Ні"</f>
        <v>Ні</v>
      </c>
    </row>
    <row r="2871" spans="1:10" ht="135" x14ac:dyDescent="0.25">
      <c r="A2871" s="1" t="str">
        <f>"2900-2020/27"</f>
        <v>2900-2020/27</v>
      </c>
      <c r="B2871" s="1" t="str">
        <f t="shared" si="480"/>
        <v>10.06.2020</v>
      </c>
      <c r="C2871" s="1" t="str">
        <f t="shared" si="484"/>
        <v>Закрито</v>
      </c>
      <c r="D287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71" s="1" t="str">
        <f>"Земельні питання"</f>
        <v>Земельні питання</v>
      </c>
      <c r="F28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71" s="1" t="str">
        <f>"1"</f>
        <v>1</v>
      </c>
      <c r="H2871" s="1" t="str">
        <f>"Результат"</f>
        <v>Результат</v>
      </c>
      <c r="I2871" s="1" t="str">
        <f>"Позитивний"</f>
        <v>Позитивний</v>
      </c>
      <c r="J2871" s="1" t="str">
        <f>"Так"</f>
        <v>Так</v>
      </c>
    </row>
    <row r="2872" spans="1:10" ht="45" x14ac:dyDescent="0.25">
      <c r="A2872" s="1" t="str">
        <f>"2884-2020/27"</f>
        <v>2884-2020/27</v>
      </c>
      <c r="B2872" s="1" t="str">
        <f t="shared" si="480"/>
        <v>10.06.2020</v>
      </c>
      <c r="C2872" s="1" t="str">
        <f t="shared" si="484"/>
        <v>Закрито</v>
      </c>
      <c r="D2872" s="1" t="str">
        <f>"Реєстрація місця проживання особи"</f>
        <v>Реєстрація місця проживання особи</v>
      </c>
      <c r="E2872" s="1" t="str">
        <f>"Реєстрація місця проживання"</f>
        <v>Реєстрація місця проживання</v>
      </c>
      <c r="F2872" s="1" t="str">
        <f>"Відділ реєстрації Новокаховської міської ради"</f>
        <v>Відділ реєстрації Новокаховської міської ради</v>
      </c>
      <c r="G2872" s="1" t="str">
        <f>"1"</f>
        <v>1</v>
      </c>
      <c r="H2872" s="1" t="str">
        <f>"Результат"</f>
        <v>Результат</v>
      </c>
      <c r="I2872" s="1" t="str">
        <f>"Позитивний"</f>
        <v>Позитивний</v>
      </c>
      <c r="J2872" s="1" t="str">
        <f>"Так"</f>
        <v>Так</v>
      </c>
    </row>
    <row r="2873" spans="1:10" ht="90" x14ac:dyDescent="0.25">
      <c r="A2873" s="1" t="str">
        <f>"2898-2020/27"</f>
        <v>2898-2020/27</v>
      </c>
      <c r="B2873" s="1" t="str">
        <f t="shared" si="480"/>
        <v>10.06.2020</v>
      </c>
      <c r="C2873" s="1" t="str">
        <f t="shared" si="484"/>
        <v>Закрито</v>
      </c>
      <c r="D287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73" s="1" t="str">
        <f>"Інші послуги"</f>
        <v>Інші послуги</v>
      </c>
      <c r="F287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73" s="1" t="str">
        <f>"5"</f>
        <v>5</v>
      </c>
      <c r="H2873" s="1" t="str">
        <f>"Результат"</f>
        <v>Результат</v>
      </c>
      <c r="I2873" s="1" t="str">
        <f>"Позитивний"</f>
        <v>Позитивний</v>
      </c>
      <c r="J2873" s="1" t="str">
        <f>"Ні"</f>
        <v>Ні</v>
      </c>
    </row>
    <row r="2874" spans="1:10" ht="45" x14ac:dyDescent="0.25">
      <c r="A2874" s="1" t="str">
        <f>"2921-2020/27"</f>
        <v>2921-2020/27</v>
      </c>
      <c r="B2874" s="1" t="str">
        <f t="shared" ref="B2874:B2901" si="485">"11.06.2020"</f>
        <v>11.06.2020</v>
      </c>
      <c r="C2874" s="1" t="str">
        <f t="shared" si="484"/>
        <v>Закрито</v>
      </c>
      <c r="D2874" s="1" t="str">
        <f>"Реєстрація місця проживання особи"</f>
        <v>Реєстрація місця проживання особи</v>
      </c>
      <c r="E2874" s="1" t="str">
        <f>"Реєстрація місця проживання"</f>
        <v>Реєстрація місця проживання</v>
      </c>
      <c r="F2874" s="1" t="str">
        <f>"Відділ реєстрації Новокаховської міської ради"</f>
        <v>Відділ реєстрації Новокаховської міської ради</v>
      </c>
      <c r="G2874" s="1" t="str">
        <f>"1"</f>
        <v>1</v>
      </c>
      <c r="H2874" s="1" t="str">
        <f>"Результат"</f>
        <v>Результат</v>
      </c>
      <c r="I2874" s="1" t="str">
        <f>"Мотивована відмова"</f>
        <v>Мотивована відмова</v>
      </c>
      <c r="J2874" s="1" t="str">
        <f>"Так"</f>
        <v>Так</v>
      </c>
    </row>
    <row r="2875" spans="1:10" ht="90" x14ac:dyDescent="0.25">
      <c r="A2875" s="1" t="str">
        <f>"2909-2020/27"</f>
        <v>2909-2020/27</v>
      </c>
      <c r="B2875" s="1" t="str">
        <f t="shared" si="485"/>
        <v>11.06.2020</v>
      </c>
      <c r="C2875" s="1" t="str">
        <f t="shared" si="484"/>
        <v>Закрито</v>
      </c>
      <c r="D287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75" s="1" t="str">
        <f>"Інші послуги"</f>
        <v>Інші послуги</v>
      </c>
      <c r="F287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75" s="1" t="str">
        <f>"5"</f>
        <v>5</v>
      </c>
      <c r="H2875" s="1" t="str">
        <f>"Результат"</f>
        <v>Результат</v>
      </c>
      <c r="I2875" s="1" t="str">
        <f>"Позитивний"</f>
        <v>Позитивний</v>
      </c>
      <c r="J2875" s="1" t="str">
        <f>"Ні"</f>
        <v>Ні</v>
      </c>
    </row>
    <row r="2876" spans="1:10" ht="105" x14ac:dyDescent="0.25">
      <c r="A2876" s="1" t="str">
        <f>"2923-2020/27"</f>
        <v>2923-2020/27</v>
      </c>
      <c r="B2876" s="1" t="str">
        <f t="shared" si="485"/>
        <v>11.06.2020</v>
      </c>
      <c r="C2876" s="1" t="str">
        <f t="shared" si="484"/>
        <v>Закрито</v>
      </c>
      <c r="D287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76" s="1" t="str">
        <f>"Земельні питання"</f>
        <v>Земельні питання</v>
      </c>
      <c r="F2876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76" s="1" t="str">
        <f>"1"</f>
        <v>1</v>
      </c>
      <c r="H2876" s="1" t="str">
        <f>"Результат"</f>
        <v>Результат</v>
      </c>
      <c r="I2876" s="1" t="str">
        <f>"Позитивний"</f>
        <v>Позитивний</v>
      </c>
      <c r="J2876" s="1" t="str">
        <f>"Так"</f>
        <v>Так</v>
      </c>
    </row>
    <row r="2877" spans="1:10" ht="45" x14ac:dyDescent="0.25">
      <c r="A2877" s="1" t="str">
        <f>"2919-2020/27"</f>
        <v>2919-2020/27</v>
      </c>
      <c r="B2877" s="1" t="str">
        <f t="shared" si="485"/>
        <v>11.06.2020</v>
      </c>
      <c r="C2877" s="1" t="str">
        <f t="shared" si="484"/>
        <v>Закрито</v>
      </c>
      <c r="D2877" s="1" t="str">
        <f>"Реєстрація місця проживання особи"</f>
        <v>Реєстрація місця проживання особи</v>
      </c>
      <c r="E2877" s="1" t="str">
        <f>"Реєстрація місця проживання"</f>
        <v>Реєстрація місця проживання</v>
      </c>
      <c r="F2877" s="1" t="str">
        <f>"Відділ реєстрації Новокаховської міської ради"</f>
        <v>Відділ реєстрації Новокаховської міської ради</v>
      </c>
      <c r="G2877" s="1" t="str">
        <f>"1"</f>
        <v>1</v>
      </c>
      <c r="H2877" s="1" t="str">
        <f>"Результат"</f>
        <v>Результат</v>
      </c>
      <c r="I2877" s="1" t="str">
        <f>"Позитивний"</f>
        <v>Позитивний</v>
      </c>
      <c r="J2877" s="1" t="str">
        <f>"Так"</f>
        <v>Так</v>
      </c>
    </row>
    <row r="2878" spans="1:10" ht="135" x14ac:dyDescent="0.25">
      <c r="A2878" s="1" t="str">
        <f>"2913-2020/27"</f>
        <v>2913-2020/27</v>
      </c>
      <c r="B2878" s="1" t="str">
        <f t="shared" si="485"/>
        <v>11.06.2020</v>
      </c>
      <c r="C2878" s="1" t="str">
        <f t="shared" si="484"/>
        <v>Закрито</v>
      </c>
      <c r="D287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78" s="1" t="str">
        <f>"Земельні питання"</f>
        <v>Земельні питання</v>
      </c>
      <c r="F28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78" s="1" t="str">
        <f>"3"</f>
        <v>3</v>
      </c>
      <c r="H2878" s="1" t="str">
        <f>"Результат"</f>
        <v>Результат</v>
      </c>
      <c r="I2878" s="1" t="str">
        <f>"Позитивний"</f>
        <v>Позитивний</v>
      </c>
      <c r="J2878" s="1" t="str">
        <f>"Ні"</f>
        <v>Ні</v>
      </c>
    </row>
    <row r="2879" spans="1:10" ht="135" x14ac:dyDescent="0.25">
      <c r="A2879" s="1" t="str">
        <f>"2912-2020/27"</f>
        <v>2912-2020/27</v>
      </c>
      <c r="B2879" s="1" t="str">
        <f t="shared" si="485"/>
        <v>11.06.2020</v>
      </c>
      <c r="C2879" s="1" t="str">
        <f t="shared" si="484"/>
        <v>Закрито</v>
      </c>
      <c r="D287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79" s="1" t="str">
        <f>"Земельні питання"</f>
        <v>Земельні питання</v>
      </c>
      <c r="F287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79" s="1" t="str">
        <f>"3"</f>
        <v>3</v>
      </c>
      <c r="H2879" s="1" t="str">
        <f>"Результат"</f>
        <v>Результат</v>
      </c>
      <c r="I2879" s="1" t="str">
        <f>"Позитивний"</f>
        <v>Позитивний</v>
      </c>
      <c r="J2879" s="1" t="str">
        <f>"Ні"</f>
        <v>Ні</v>
      </c>
    </row>
    <row r="2880" spans="1:10" ht="45" x14ac:dyDescent="0.25">
      <c r="A2880" s="1" t="str">
        <f>"2927-2020/27"</f>
        <v>2927-2020/27</v>
      </c>
      <c r="B2880" s="1" t="str">
        <f t="shared" si="485"/>
        <v>11.06.2020</v>
      </c>
      <c r="C2880" s="1" t="str">
        <f t="shared" si="484"/>
        <v>Закрито</v>
      </c>
      <c r="D2880" s="1" t="str">
        <f>"Видача дозволу на порушення об’єктів благоустрою"</f>
        <v>Видача дозволу на порушення об’єктів благоустрою</v>
      </c>
      <c r="E2880" s="1" t="str">
        <f>"Об’єкти благоустрою"</f>
        <v>Об’єкти благоустрою</v>
      </c>
      <c r="F2880" s="1" t="str">
        <f>"Виконавчий комітет Новокаховської міської ради"</f>
        <v>Виконавчий комітет Новокаховської міської ради</v>
      </c>
      <c r="G2880" s="1" t="str">
        <f>"10"</f>
        <v>10</v>
      </c>
      <c r="H2880" s="1" t="str">
        <f>"Результат"</f>
        <v>Результат</v>
      </c>
      <c r="I2880" s="1" t="str">
        <f>"Позитивний"</f>
        <v>Позитивний</v>
      </c>
      <c r="J2880" s="1" t="str">
        <f>"Ні"</f>
        <v>Ні</v>
      </c>
    </row>
    <row r="2881" spans="1:10" ht="45" x14ac:dyDescent="0.25">
      <c r="A2881" s="1" t="str">
        <f>"2911-2020/27"</f>
        <v>2911-2020/27</v>
      </c>
      <c r="B2881" s="1" t="str">
        <f t="shared" si="485"/>
        <v>11.06.2020</v>
      </c>
      <c r="C2881" s="1" t="str">
        <f t="shared" si="484"/>
        <v>Закрито</v>
      </c>
      <c r="D2881" s="1" t="str">
        <f>"Реєстрація місця проживання особи"</f>
        <v>Реєстрація місця проживання особи</v>
      </c>
      <c r="E2881" s="1" t="str">
        <f>"Реєстрація місця проживання"</f>
        <v>Реєстрація місця проживання</v>
      </c>
      <c r="F2881" s="1" t="str">
        <f>"Відділ реєстрації Новокаховської міської ради"</f>
        <v>Відділ реєстрації Новокаховської міської ради</v>
      </c>
      <c r="G2881" s="1" t="str">
        <f>"1"</f>
        <v>1</v>
      </c>
      <c r="H2881" s="1" t="str">
        <f>"Результат"</f>
        <v>Результат</v>
      </c>
      <c r="I2881" s="1" t="str">
        <f>"Позитивний"</f>
        <v>Позитивний</v>
      </c>
      <c r="J2881" s="1" t="str">
        <f>"Так"</f>
        <v>Так</v>
      </c>
    </row>
    <row r="2882" spans="1:10" ht="45" x14ac:dyDescent="0.25">
      <c r="A2882" s="1" t="str">
        <f>"2910-2020/27"</f>
        <v>2910-2020/27</v>
      </c>
      <c r="B2882" s="1" t="str">
        <f t="shared" si="485"/>
        <v>11.06.2020</v>
      </c>
      <c r="C2882" s="1" t="str">
        <f t="shared" si="484"/>
        <v>Закрито</v>
      </c>
      <c r="D2882" s="1" t="str">
        <f>"Реєстрація місця проживання особи"</f>
        <v>Реєстрація місця проживання особи</v>
      </c>
      <c r="E2882" s="1" t="str">
        <f>"Реєстрація місця проживання"</f>
        <v>Реєстрація місця проживання</v>
      </c>
      <c r="F2882" s="1" t="str">
        <f>"Відділ реєстрації Новокаховської міської ради"</f>
        <v>Відділ реєстрації Новокаховської міської ради</v>
      </c>
      <c r="G2882" s="1" t="str">
        <f>"1"</f>
        <v>1</v>
      </c>
      <c r="H2882" s="1" t="str">
        <f>"Результат"</f>
        <v>Результат</v>
      </c>
      <c r="I2882" s="1" t="str">
        <f>"Позитивний"</f>
        <v>Позитивний</v>
      </c>
      <c r="J2882" s="1" t="str">
        <f>"Так"</f>
        <v>Так</v>
      </c>
    </row>
    <row r="2883" spans="1:10" ht="90" x14ac:dyDescent="0.25">
      <c r="A2883" s="1" t="str">
        <f>"2922-2020/27"</f>
        <v>2922-2020/27</v>
      </c>
      <c r="B2883" s="1" t="str">
        <f t="shared" si="485"/>
        <v>11.06.2020</v>
      </c>
      <c r="C2883" s="1" t="str">
        <f t="shared" si="484"/>
        <v>Закрито</v>
      </c>
      <c r="D288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83" s="1" t="str">
        <f>"Інші послуги"</f>
        <v>Інші послуги</v>
      </c>
      <c r="F288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83" s="1" t="str">
        <f>"5"</f>
        <v>5</v>
      </c>
      <c r="H2883" s="1" t="str">
        <f>"Результат"</f>
        <v>Результат</v>
      </c>
      <c r="I2883" s="1" t="str">
        <f>"Позитивний"</f>
        <v>Позитивний</v>
      </c>
      <c r="J2883" s="1" t="str">
        <f t="shared" ref="J2883:J2888" si="486">"Ні"</f>
        <v>Ні</v>
      </c>
    </row>
    <row r="2884" spans="1:10" ht="135" x14ac:dyDescent="0.25">
      <c r="A2884" s="1" t="str">
        <f>"2904-2020/27"</f>
        <v>2904-2020/27</v>
      </c>
      <c r="B2884" s="1" t="str">
        <f t="shared" si="485"/>
        <v>11.06.2020</v>
      </c>
      <c r="C2884" s="1" t="str">
        <f t="shared" si="484"/>
        <v>Закрито</v>
      </c>
      <c r="D288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84" s="1" t="str">
        <f>"Земельні питання"</f>
        <v>Земельні питання</v>
      </c>
      <c r="F28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84" s="1" t="str">
        <f>"3"</f>
        <v>3</v>
      </c>
      <c r="H2884" s="1" t="str">
        <f>"Результат"</f>
        <v>Результат</v>
      </c>
      <c r="I2884" s="1" t="str">
        <f>"Позитивний"</f>
        <v>Позитивний</v>
      </c>
      <c r="J2884" s="1" t="str">
        <f t="shared" si="486"/>
        <v>Ні</v>
      </c>
    </row>
    <row r="2885" spans="1:10" ht="135" x14ac:dyDescent="0.25">
      <c r="A2885" s="1" t="str">
        <f>"2925-2020/27"</f>
        <v>2925-2020/27</v>
      </c>
      <c r="B2885" s="1" t="str">
        <f t="shared" si="485"/>
        <v>11.06.2020</v>
      </c>
      <c r="C2885" s="1" t="str">
        <f t="shared" si="484"/>
        <v>Закрито</v>
      </c>
      <c r="D288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85" s="1" t="str">
        <f>"Земельні питання"</f>
        <v>Земельні питання</v>
      </c>
      <c r="F28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85" s="1" t="str">
        <f>"3"</f>
        <v>3</v>
      </c>
      <c r="H2885" s="1" t="str">
        <f>"Результат"</f>
        <v>Результат</v>
      </c>
      <c r="I2885" s="1" t="str">
        <f>"Мотивована відмова"</f>
        <v>Мотивована відмова</v>
      </c>
      <c r="J2885" s="1" t="str">
        <f t="shared" si="486"/>
        <v>Ні</v>
      </c>
    </row>
    <row r="2886" spans="1:10" ht="90" x14ac:dyDescent="0.25">
      <c r="A2886" s="1" t="str">
        <f>"2902-2020/27"</f>
        <v>2902-2020/27</v>
      </c>
      <c r="B2886" s="1" t="str">
        <f t="shared" si="485"/>
        <v>11.06.2020</v>
      </c>
      <c r="C2886" s="1" t="str">
        <f t="shared" si="484"/>
        <v>Закрито</v>
      </c>
      <c r="D288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86" s="1" t="str">
        <f>"Інші послуги"</f>
        <v>Інші послуги</v>
      </c>
      <c r="F288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86" s="1" t="str">
        <f>"5"</f>
        <v>5</v>
      </c>
      <c r="H2886" s="1" t="str">
        <f>"Результат"</f>
        <v>Результат</v>
      </c>
      <c r="I2886" s="1" t="str">
        <f>"Позитивний"</f>
        <v>Позитивний</v>
      </c>
      <c r="J2886" s="1" t="str">
        <f t="shared" si="486"/>
        <v>Ні</v>
      </c>
    </row>
    <row r="2887" spans="1:10" ht="90" x14ac:dyDescent="0.25">
      <c r="A2887" s="1" t="str">
        <f>"2914-2020/27"</f>
        <v>2914-2020/27</v>
      </c>
      <c r="B2887" s="1" t="str">
        <f t="shared" si="485"/>
        <v>11.06.2020</v>
      </c>
      <c r="C2887" s="1" t="str">
        <f t="shared" si="484"/>
        <v>Закрито</v>
      </c>
      <c r="D288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87" s="1" t="str">
        <f>"Інші послуги"</f>
        <v>Інші послуги</v>
      </c>
      <c r="F288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87" s="1" t="str">
        <f>"5"</f>
        <v>5</v>
      </c>
      <c r="H2887" s="1" t="str">
        <f>"Результат"</f>
        <v>Результат</v>
      </c>
      <c r="I2887" s="1" t="str">
        <f>"Позитивний"</f>
        <v>Позитивний</v>
      </c>
      <c r="J2887" s="1" t="str">
        <f t="shared" si="486"/>
        <v>Ні</v>
      </c>
    </row>
    <row r="2888" spans="1:10" ht="135" x14ac:dyDescent="0.25">
      <c r="A2888" s="1" t="str">
        <f>"2926-2020/27"</f>
        <v>2926-2020/27</v>
      </c>
      <c r="B2888" s="1" t="str">
        <f t="shared" si="485"/>
        <v>11.06.2020</v>
      </c>
      <c r="C2888" s="1" t="str">
        <f t="shared" si="484"/>
        <v>Закрито</v>
      </c>
      <c r="D288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888" s="1" t="str">
        <f>"Земельні питання"</f>
        <v>Земельні питання</v>
      </c>
      <c r="F288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88" s="1" t="str">
        <f>"3"</f>
        <v>3</v>
      </c>
      <c r="H2888" s="1" t="str">
        <f>"Результат"</f>
        <v>Результат</v>
      </c>
      <c r="I2888" s="1" t="str">
        <f>"Мотивована відмова"</f>
        <v>Мотивована відмова</v>
      </c>
      <c r="J2888" s="1" t="str">
        <f t="shared" si="486"/>
        <v>Ні</v>
      </c>
    </row>
    <row r="2889" spans="1:10" ht="45" x14ac:dyDescent="0.25">
      <c r="A2889" s="1" t="str">
        <f>"2907-2020/27"</f>
        <v>2907-2020/27</v>
      </c>
      <c r="B2889" s="1" t="str">
        <f t="shared" si="485"/>
        <v>11.06.2020</v>
      </c>
      <c r="C2889" s="1" t="str">
        <f t="shared" si="484"/>
        <v>Закрито</v>
      </c>
      <c r="D2889" s="1" t="str">
        <f>"Зняття з реєстрації місця проживання"</f>
        <v>Зняття з реєстрації місця проживання</v>
      </c>
      <c r="E2889" s="1" t="str">
        <f>"Реєстрація місця проживання"</f>
        <v>Реєстрація місця проживання</v>
      </c>
      <c r="F2889" s="1" t="str">
        <f>"Відділ реєстрації Новокаховської міської ради"</f>
        <v>Відділ реєстрації Новокаховської міської ради</v>
      </c>
      <c r="G2889" s="1" t="str">
        <f>"1"</f>
        <v>1</v>
      </c>
      <c r="H2889" s="1" t="str">
        <f>"Результат"</f>
        <v>Результат</v>
      </c>
      <c r="I2889" s="1" t="str">
        <f>"Позитивний"</f>
        <v>Позитивний</v>
      </c>
      <c r="J2889" s="1" t="str">
        <f>"Так"</f>
        <v>Так</v>
      </c>
    </row>
    <row r="2890" spans="1:10" ht="45" x14ac:dyDescent="0.25">
      <c r="A2890" s="1" t="str">
        <f>"2917-2020/27"</f>
        <v>2917-2020/27</v>
      </c>
      <c r="B2890" s="1" t="str">
        <f t="shared" si="485"/>
        <v>11.06.2020</v>
      </c>
      <c r="C2890" s="1" t="str">
        <f t="shared" si="484"/>
        <v>Закрито</v>
      </c>
      <c r="D2890" s="1" t="str">
        <f>"Зняття з реєстрації місця проживання"</f>
        <v>Зняття з реєстрації місця проживання</v>
      </c>
      <c r="E2890" s="1" t="str">
        <f>"Реєстрація місця проживання"</f>
        <v>Реєстрація місця проживання</v>
      </c>
      <c r="F2890" s="1" t="str">
        <f>"Відділ реєстрації Новокаховської міської ради"</f>
        <v>Відділ реєстрації Новокаховської міської ради</v>
      </c>
      <c r="G2890" s="1" t="str">
        <f>"1"</f>
        <v>1</v>
      </c>
      <c r="H2890" s="1" t="str">
        <f>"Результат"</f>
        <v>Результат</v>
      </c>
      <c r="I2890" s="1" t="str">
        <f>"Позитивний"</f>
        <v>Позитивний</v>
      </c>
      <c r="J2890" s="1" t="str">
        <f>"Так"</f>
        <v>Так</v>
      </c>
    </row>
    <row r="2891" spans="1:10" ht="135" x14ac:dyDescent="0.25">
      <c r="A2891" s="1" t="str">
        <f>"2929-2020/27"</f>
        <v>2929-2020/27</v>
      </c>
      <c r="B2891" s="1" t="str">
        <f t="shared" si="485"/>
        <v>11.06.2020</v>
      </c>
      <c r="C2891" s="1" t="str">
        <f t="shared" si="484"/>
        <v>Закрито</v>
      </c>
      <c r="D289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891" s="1" t="str">
        <f>"Земельні питання"</f>
        <v>Земельні питання</v>
      </c>
      <c r="F28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891" s="1" t="str">
        <f>"14"</f>
        <v>14</v>
      </c>
      <c r="H2891" s="1" t="str">
        <f>"Результат"</f>
        <v>Результат</v>
      </c>
      <c r="I2891" s="1" t="str">
        <f>"Позитивний"</f>
        <v>Позитивний</v>
      </c>
      <c r="J2891" s="1" t="str">
        <f>"Ні"</f>
        <v>Ні</v>
      </c>
    </row>
    <row r="2892" spans="1:10" ht="45" x14ac:dyDescent="0.25">
      <c r="A2892" s="1" t="str">
        <f>"2916-2020/27"</f>
        <v>2916-2020/27</v>
      </c>
      <c r="B2892" s="1" t="str">
        <f t="shared" si="485"/>
        <v>11.06.2020</v>
      </c>
      <c r="C2892" s="1" t="str">
        <f t="shared" si="484"/>
        <v>Закрито</v>
      </c>
      <c r="D2892" s="1" t="str">
        <f>"Зняття з реєстрації місця проживання"</f>
        <v>Зняття з реєстрації місця проживання</v>
      </c>
      <c r="E2892" s="1" t="str">
        <f>"Реєстрація місця проживання"</f>
        <v>Реєстрація місця проживання</v>
      </c>
      <c r="F2892" s="1" t="str">
        <f>"Відділ реєстрації Новокаховської міської ради"</f>
        <v>Відділ реєстрації Новокаховської міської ради</v>
      </c>
      <c r="G2892" s="1" t="str">
        <f t="shared" ref="G2892:G2898" si="487">"1"</f>
        <v>1</v>
      </c>
      <c r="H2892" s="1" t="str">
        <f>"Результат"</f>
        <v>Результат</v>
      </c>
      <c r="I2892" s="1" t="str">
        <f>"Позитивний"</f>
        <v>Позитивний</v>
      </c>
      <c r="J2892" s="1" t="str">
        <f t="shared" ref="J2892:J2898" si="488">"Так"</f>
        <v>Так</v>
      </c>
    </row>
    <row r="2893" spans="1:10" ht="105" x14ac:dyDescent="0.25">
      <c r="A2893" s="1" t="str">
        <f>"2908-2020/27"</f>
        <v>2908-2020/27</v>
      </c>
      <c r="B2893" s="1" t="str">
        <f t="shared" si="485"/>
        <v>11.06.2020</v>
      </c>
      <c r="C2893" s="1" t="str">
        <f t="shared" si="484"/>
        <v>Закрито</v>
      </c>
      <c r="D289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93" s="1" t="str">
        <f>"Земельні питання"</f>
        <v>Земельні питання</v>
      </c>
      <c r="F289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93" s="1" t="str">
        <f t="shared" si="487"/>
        <v>1</v>
      </c>
      <c r="H2893" s="1" t="str">
        <f>"Результат"</f>
        <v>Результат</v>
      </c>
      <c r="I2893" s="1" t="str">
        <f>"Позитивний"</f>
        <v>Позитивний</v>
      </c>
      <c r="J2893" s="1" t="str">
        <f t="shared" si="488"/>
        <v>Так</v>
      </c>
    </row>
    <row r="2894" spans="1:10" ht="105" x14ac:dyDescent="0.25">
      <c r="A2894" s="1" t="str">
        <f>"2924-2020/27"</f>
        <v>2924-2020/27</v>
      </c>
      <c r="B2894" s="1" t="str">
        <f t="shared" si="485"/>
        <v>11.06.2020</v>
      </c>
      <c r="C2894" s="1" t="str">
        <f t="shared" si="484"/>
        <v>Закрито</v>
      </c>
      <c r="D289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894" s="1" t="str">
        <f>"Земельні питання"</f>
        <v>Земельні питання</v>
      </c>
      <c r="F2894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2894" s="1" t="str">
        <f t="shared" si="487"/>
        <v>1</v>
      </c>
      <c r="H2894" s="1" t="str">
        <f>"Результат"</f>
        <v>Результат</v>
      </c>
      <c r="I2894" s="1" t="str">
        <f>"Позитивний"</f>
        <v>Позитивний</v>
      </c>
      <c r="J2894" s="1" t="str">
        <f t="shared" si="488"/>
        <v>Так</v>
      </c>
    </row>
    <row r="2895" spans="1:10" ht="45" x14ac:dyDescent="0.25">
      <c r="A2895" s="1" t="str">
        <f>"2915-2020/27"</f>
        <v>2915-2020/27</v>
      </c>
      <c r="B2895" s="1" t="str">
        <f t="shared" si="485"/>
        <v>11.06.2020</v>
      </c>
      <c r="C2895" s="1" t="str">
        <f t="shared" si="484"/>
        <v>Закрито</v>
      </c>
      <c r="D2895" s="1" t="str">
        <f>"Реєстрація місця проживання особи"</f>
        <v>Реєстрація місця проживання особи</v>
      </c>
      <c r="E2895" s="1" t="str">
        <f>"Реєстрація місця проживання"</f>
        <v>Реєстрація місця проживання</v>
      </c>
      <c r="F2895" s="1" t="str">
        <f>"Відділ реєстрації Новокаховської міської ради"</f>
        <v>Відділ реєстрації Новокаховської міської ради</v>
      </c>
      <c r="G2895" s="1" t="str">
        <f t="shared" si="487"/>
        <v>1</v>
      </c>
      <c r="H2895" s="1" t="str">
        <f>"Результат"</f>
        <v>Результат</v>
      </c>
      <c r="I2895" s="1" t="str">
        <f>"Позитивний"</f>
        <v>Позитивний</v>
      </c>
      <c r="J2895" s="1" t="str">
        <f t="shared" si="488"/>
        <v>Так</v>
      </c>
    </row>
    <row r="2896" spans="1:10" ht="45" x14ac:dyDescent="0.25">
      <c r="A2896" s="1" t="str">
        <f>"2920-2020/27"</f>
        <v>2920-2020/27</v>
      </c>
      <c r="B2896" s="1" t="str">
        <f t="shared" si="485"/>
        <v>11.06.2020</v>
      </c>
      <c r="C2896" s="1" t="str">
        <f t="shared" si="484"/>
        <v>Закрито</v>
      </c>
      <c r="D2896" s="1" t="str">
        <f>"Реєстрація місця проживання особи"</f>
        <v>Реєстрація місця проживання особи</v>
      </c>
      <c r="E2896" s="1" t="str">
        <f>"Реєстрація місця проживання"</f>
        <v>Реєстрація місця проживання</v>
      </c>
      <c r="F2896" s="1" t="str">
        <f>"Відділ реєстрації Новокаховської міської ради"</f>
        <v>Відділ реєстрації Новокаховської міської ради</v>
      </c>
      <c r="G2896" s="1" t="str">
        <f t="shared" si="487"/>
        <v>1</v>
      </c>
      <c r="H2896" s="1" t="str">
        <f>"Результат"</f>
        <v>Результат</v>
      </c>
      <c r="I2896" s="1" t="str">
        <f>"Мотивована відмова"</f>
        <v>Мотивована відмова</v>
      </c>
      <c r="J2896" s="1" t="str">
        <f t="shared" si="488"/>
        <v>Так</v>
      </c>
    </row>
    <row r="2897" spans="1:10" ht="45" x14ac:dyDescent="0.25">
      <c r="A2897" s="1" t="str">
        <f>"2906-2020/27"</f>
        <v>2906-2020/27</v>
      </c>
      <c r="B2897" s="1" t="str">
        <f t="shared" si="485"/>
        <v>11.06.2020</v>
      </c>
      <c r="C2897" s="1" t="str">
        <f t="shared" si="484"/>
        <v>Закрито</v>
      </c>
      <c r="D2897" s="1" t="str">
        <f>"Реєстрація місця проживання особи"</f>
        <v>Реєстрація місця проживання особи</v>
      </c>
      <c r="E2897" s="1" t="str">
        <f>"Реєстрація місця проживання"</f>
        <v>Реєстрація місця проживання</v>
      </c>
      <c r="F2897" s="1" t="str">
        <f>"Відділ реєстрації Новокаховської міської ради"</f>
        <v>Відділ реєстрації Новокаховської міської ради</v>
      </c>
      <c r="G2897" s="1" t="str">
        <f t="shared" si="487"/>
        <v>1</v>
      </c>
      <c r="H2897" s="1" t="str">
        <f>"Результат"</f>
        <v>Результат</v>
      </c>
      <c r="I2897" s="1" t="str">
        <f>"Позитивний"</f>
        <v>Позитивний</v>
      </c>
      <c r="J2897" s="1" t="str">
        <f t="shared" si="488"/>
        <v>Так</v>
      </c>
    </row>
    <row r="2898" spans="1:10" ht="45" x14ac:dyDescent="0.25">
      <c r="A2898" s="1" t="str">
        <f>"2903-2020/27"</f>
        <v>2903-2020/27</v>
      </c>
      <c r="B2898" s="1" t="str">
        <f t="shared" si="485"/>
        <v>11.06.2020</v>
      </c>
      <c r="C2898" s="1" t="str">
        <f t="shared" si="484"/>
        <v>Закрито</v>
      </c>
      <c r="D2898" s="1" t="str">
        <f>"Зняття з реєстрації місця проживання"</f>
        <v>Зняття з реєстрації місця проживання</v>
      </c>
      <c r="E2898" s="1" t="str">
        <f>"Реєстрація місця проживання"</f>
        <v>Реєстрація місця проживання</v>
      </c>
      <c r="F2898" s="1" t="str">
        <f>"Відділ реєстрації Новокаховської міської ради"</f>
        <v>Відділ реєстрації Новокаховської міської ради</v>
      </c>
      <c r="G2898" s="1" t="str">
        <f t="shared" si="487"/>
        <v>1</v>
      </c>
      <c r="H2898" s="1" t="str">
        <f>"Результат"</f>
        <v>Результат</v>
      </c>
      <c r="I2898" s="1" t="str">
        <f>"Позитивний"</f>
        <v>Позитивний</v>
      </c>
      <c r="J2898" s="1" t="str">
        <f t="shared" si="488"/>
        <v>Так</v>
      </c>
    </row>
    <row r="2899" spans="1:10" ht="90" x14ac:dyDescent="0.25">
      <c r="A2899" s="1" t="str">
        <f>"2918-2020/27"</f>
        <v>2918-2020/27</v>
      </c>
      <c r="B2899" s="1" t="str">
        <f t="shared" si="485"/>
        <v>11.06.2020</v>
      </c>
      <c r="C2899" s="1" t="str">
        <f t="shared" si="484"/>
        <v>Закрито</v>
      </c>
      <c r="D289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899" s="1" t="str">
        <f>"Інші послуги"</f>
        <v>Інші послуги</v>
      </c>
      <c r="F289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899" s="1" t="str">
        <f>"5"</f>
        <v>5</v>
      </c>
      <c r="H2899" s="1" t="str">
        <f>"Результат"</f>
        <v>Результат</v>
      </c>
      <c r="I2899" s="1" t="str">
        <f>"Позитивний"</f>
        <v>Позитивний</v>
      </c>
      <c r="J2899" s="1" t="str">
        <f>"Ні"</f>
        <v>Ні</v>
      </c>
    </row>
    <row r="2900" spans="1:10" ht="45" x14ac:dyDescent="0.25">
      <c r="A2900" s="1" t="str">
        <f>"2905-2020/27"</f>
        <v>2905-2020/27</v>
      </c>
      <c r="B2900" s="1" t="str">
        <f t="shared" si="485"/>
        <v>11.06.2020</v>
      </c>
      <c r="C2900" s="1" t="str">
        <f t="shared" si="484"/>
        <v>Закрито</v>
      </c>
      <c r="D2900" s="1" t="str">
        <f>"Зняття з реєстрації місця проживання"</f>
        <v>Зняття з реєстрації місця проживання</v>
      </c>
      <c r="E2900" s="1" t="str">
        <f>"Реєстрація місця проживання"</f>
        <v>Реєстрація місця проживання</v>
      </c>
      <c r="F2900" s="1" t="str">
        <f>"Відділ реєстрації Новокаховської міської ради"</f>
        <v>Відділ реєстрації Новокаховської міської ради</v>
      </c>
      <c r="G2900" s="1" t="str">
        <f>"1"</f>
        <v>1</v>
      </c>
      <c r="H2900" s="1" t="str">
        <f>"Результат"</f>
        <v>Результат</v>
      </c>
      <c r="I2900" s="1" t="str">
        <f>"Позитивний"</f>
        <v>Позитивний</v>
      </c>
      <c r="J2900" s="1" t="str">
        <f>"Так"</f>
        <v>Так</v>
      </c>
    </row>
    <row r="2901" spans="1:10" ht="135" x14ac:dyDescent="0.25">
      <c r="A2901" s="1" t="str">
        <f>"2928-2020/27"</f>
        <v>2928-2020/27</v>
      </c>
      <c r="B2901" s="1" t="str">
        <f t="shared" si="485"/>
        <v>11.06.2020</v>
      </c>
      <c r="C2901" s="1" t="str">
        <f t="shared" si="484"/>
        <v>Закрито</v>
      </c>
      <c r="D290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01" s="1" t="str">
        <f>"Земельні питання"</f>
        <v>Земельні питання</v>
      </c>
      <c r="F290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1" s="1" t="str">
        <f>"14"</f>
        <v>14</v>
      </c>
      <c r="H2901" s="1" t="str">
        <f>"Результат"</f>
        <v>Результат</v>
      </c>
      <c r="I2901" s="1" t="str">
        <f>"Позитивний"</f>
        <v>Позитивний</v>
      </c>
      <c r="J2901" s="1" t="str">
        <f t="shared" ref="J2901:J2908" si="489">"Ні"</f>
        <v>Ні</v>
      </c>
    </row>
    <row r="2902" spans="1:10" ht="135" x14ac:dyDescent="0.25">
      <c r="A2902" s="1" t="str">
        <f>"2956-2020/27"</f>
        <v>2956-2020/27</v>
      </c>
      <c r="B2902" s="1" t="str">
        <f t="shared" ref="B2902:B2928" si="490">"12.06.2020"</f>
        <v>12.06.2020</v>
      </c>
      <c r="C2902" s="1" t="str">
        <f t="shared" si="484"/>
        <v>Закрито</v>
      </c>
      <c r="D29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02" s="1" t="str">
        <f>"Земельні питання"</f>
        <v>Земельні питання</v>
      </c>
      <c r="F29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2" s="1" t="str">
        <f>"3"</f>
        <v>3</v>
      </c>
      <c r="H2902" s="1" t="str">
        <f>"Результат"</f>
        <v>Результат</v>
      </c>
      <c r="I2902" s="1" t="str">
        <f>"Позитивний"</f>
        <v>Позитивний</v>
      </c>
      <c r="J2902" s="1" t="str">
        <f t="shared" si="489"/>
        <v>Ні</v>
      </c>
    </row>
    <row r="2903" spans="1:10" ht="135" x14ac:dyDescent="0.25">
      <c r="A2903" s="1" t="str">
        <f>"2952-2020/27"</f>
        <v>2952-2020/27</v>
      </c>
      <c r="B2903" s="1" t="str">
        <f t="shared" si="490"/>
        <v>12.06.2020</v>
      </c>
      <c r="C2903" s="1" t="str">
        <f t="shared" si="484"/>
        <v>Закрито</v>
      </c>
      <c r="D290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03" s="1" t="str">
        <f>"Земельні питання"</f>
        <v>Земельні питання</v>
      </c>
      <c r="F29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3" s="1" t="str">
        <f>"3"</f>
        <v>3</v>
      </c>
      <c r="H2903" s="1" t="str">
        <f>"Результат"</f>
        <v>Результат</v>
      </c>
      <c r="I2903" s="1" t="str">
        <f>"Позитивний"</f>
        <v>Позитивний</v>
      </c>
      <c r="J2903" s="1" t="str">
        <f t="shared" si="489"/>
        <v>Ні</v>
      </c>
    </row>
    <row r="2904" spans="1:10" ht="90" x14ac:dyDescent="0.25">
      <c r="A2904" s="1" t="str">
        <f>"2945-2020/27"</f>
        <v>2945-2020/27</v>
      </c>
      <c r="B2904" s="1" t="str">
        <f t="shared" si="490"/>
        <v>12.06.2020</v>
      </c>
      <c r="C2904" s="1" t="str">
        <f t="shared" si="484"/>
        <v>Закрито</v>
      </c>
      <c r="D290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04" s="1" t="str">
        <f>"Інші послуги"</f>
        <v>Інші послуги</v>
      </c>
      <c r="F290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04" s="1" t="str">
        <f>"5"</f>
        <v>5</v>
      </c>
      <c r="H2904" s="1" t="str">
        <f>"Результат"</f>
        <v>Результат</v>
      </c>
      <c r="I2904" s="1" t="str">
        <f>"Позитивний"</f>
        <v>Позитивний</v>
      </c>
      <c r="J2904" s="1" t="str">
        <f t="shared" si="489"/>
        <v>Ні</v>
      </c>
    </row>
    <row r="2905" spans="1:10" ht="135" x14ac:dyDescent="0.25">
      <c r="A2905" s="1" t="str">
        <f>"2935-2020/27"</f>
        <v>2935-2020/27</v>
      </c>
      <c r="B2905" s="1" t="str">
        <f t="shared" si="490"/>
        <v>12.06.2020</v>
      </c>
      <c r="C2905" s="1" t="str">
        <f t="shared" si="484"/>
        <v>Закрито</v>
      </c>
      <c r="D290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05" s="1" t="str">
        <f>"Земельні питання"</f>
        <v>Земельні питання</v>
      </c>
      <c r="F290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5" s="1" t="str">
        <f>"14"</f>
        <v>14</v>
      </c>
      <c r="H2905" s="1" t="str">
        <f>"Результат"</f>
        <v>Результат</v>
      </c>
      <c r="I2905" s="1" t="str">
        <f>"Позитивний"</f>
        <v>Позитивний</v>
      </c>
      <c r="J2905" s="1" t="str">
        <f t="shared" si="489"/>
        <v>Ні</v>
      </c>
    </row>
    <row r="2906" spans="1:10" ht="135" x14ac:dyDescent="0.25">
      <c r="A2906" s="1" t="str">
        <f>"2955-2020/27"</f>
        <v>2955-2020/27</v>
      </c>
      <c r="B2906" s="1" t="str">
        <f t="shared" si="490"/>
        <v>12.06.2020</v>
      </c>
      <c r="C2906" s="1" t="str">
        <f t="shared" si="484"/>
        <v>Закрито</v>
      </c>
      <c r="D2906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06" s="1" t="str">
        <f>"Земельні питання"</f>
        <v>Земельні питання</v>
      </c>
      <c r="F290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6" s="1" t="str">
        <f>"3"</f>
        <v>3</v>
      </c>
      <c r="H2906" s="1" t="str">
        <f>"Результат"</f>
        <v>Результат</v>
      </c>
      <c r="I2906" s="1" t="str">
        <f>"Позитивний"</f>
        <v>Позитивний</v>
      </c>
      <c r="J2906" s="1" t="str">
        <f t="shared" si="489"/>
        <v>Ні</v>
      </c>
    </row>
    <row r="2907" spans="1:10" ht="135" x14ac:dyDescent="0.25">
      <c r="A2907" s="1" t="str">
        <f>"2950-2020/27"</f>
        <v>2950-2020/27</v>
      </c>
      <c r="B2907" s="1" t="str">
        <f t="shared" si="490"/>
        <v>12.06.2020</v>
      </c>
      <c r="C2907" s="1" t="str">
        <f t="shared" si="484"/>
        <v>Закрито</v>
      </c>
      <c r="D290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07" s="1" t="str">
        <f>"Земельні питання"</f>
        <v>Земельні питання</v>
      </c>
      <c r="F290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7" s="1" t="str">
        <f>"3"</f>
        <v>3</v>
      </c>
      <c r="H2907" s="1" t="str">
        <f>"Результат"</f>
        <v>Результат</v>
      </c>
      <c r="I2907" s="1" t="str">
        <f>"Позитивний"</f>
        <v>Позитивний</v>
      </c>
      <c r="J2907" s="1" t="str">
        <f t="shared" si="489"/>
        <v>Ні</v>
      </c>
    </row>
    <row r="2908" spans="1:10" ht="135" x14ac:dyDescent="0.25">
      <c r="A2908" s="1" t="str">
        <f>"2938-2020/27"</f>
        <v>2938-2020/27</v>
      </c>
      <c r="B2908" s="1" t="str">
        <f t="shared" si="490"/>
        <v>12.06.2020</v>
      </c>
      <c r="C2908" s="1" t="str">
        <f t="shared" si="484"/>
        <v>Закрито</v>
      </c>
      <c r="D290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908" s="1" t="str">
        <f>"Земельні питання"</f>
        <v>Земельні питання</v>
      </c>
      <c r="F29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8" s="1" t="str">
        <f>"14"</f>
        <v>14</v>
      </c>
      <c r="H2908" s="1" t="str">
        <f>"Результат"</f>
        <v>Результат</v>
      </c>
      <c r="I2908" s="1" t="str">
        <f>"Позитивний"</f>
        <v>Позитивний</v>
      </c>
      <c r="J2908" s="1" t="str">
        <f t="shared" si="489"/>
        <v>Ні</v>
      </c>
    </row>
    <row r="2909" spans="1:10" ht="135" x14ac:dyDescent="0.25">
      <c r="A2909" s="1" t="str">
        <f>"2932-2020/27"</f>
        <v>2932-2020/27</v>
      </c>
      <c r="B2909" s="1" t="str">
        <f t="shared" si="490"/>
        <v>12.06.2020</v>
      </c>
      <c r="C2909" s="1" t="str">
        <f t="shared" si="484"/>
        <v>Закрито</v>
      </c>
      <c r="D290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09" s="1" t="str">
        <f>"Земельні питання"</f>
        <v>Земельні питання</v>
      </c>
      <c r="F29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09" s="1" t="str">
        <f>"1"</f>
        <v>1</v>
      </c>
      <c r="H2909" s="1" t="str">
        <f>"Результат"</f>
        <v>Результат</v>
      </c>
      <c r="I2909" s="1" t="str">
        <f>"Позитивний"</f>
        <v>Позитивний</v>
      </c>
      <c r="J2909" s="1" t="str">
        <f>"Так"</f>
        <v>Так</v>
      </c>
    </row>
    <row r="2910" spans="1:10" ht="90" x14ac:dyDescent="0.25">
      <c r="A2910" s="1" t="str">
        <f>"2941-2020/27"</f>
        <v>2941-2020/27</v>
      </c>
      <c r="B2910" s="1" t="str">
        <f t="shared" si="490"/>
        <v>12.06.2020</v>
      </c>
      <c r="C2910" s="1" t="str">
        <f t="shared" si="484"/>
        <v>Закрито</v>
      </c>
      <c r="D291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10" s="1" t="str">
        <f>"Інші послуги"</f>
        <v>Інші послуги</v>
      </c>
      <c r="F291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10" s="1" t="str">
        <f>"5"</f>
        <v>5</v>
      </c>
      <c r="H2910" s="1" t="str">
        <f>"Результат"</f>
        <v>Результат</v>
      </c>
      <c r="I2910" s="1" t="str">
        <f>"Позитивний"</f>
        <v>Позитивний</v>
      </c>
      <c r="J2910" s="1" t="str">
        <f>"Ні"</f>
        <v>Ні</v>
      </c>
    </row>
    <row r="2911" spans="1:10" ht="135" x14ac:dyDescent="0.25">
      <c r="A2911" s="1" t="str">
        <f>"2936-2020/27"</f>
        <v>2936-2020/27</v>
      </c>
      <c r="B2911" s="1" t="str">
        <f t="shared" si="490"/>
        <v>12.06.2020</v>
      </c>
      <c r="C2911" s="1" t="str">
        <f t="shared" si="484"/>
        <v>Закрито</v>
      </c>
      <c r="D291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11" s="1" t="str">
        <f>"Земельні питання"</f>
        <v>Земельні питання</v>
      </c>
      <c r="F291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11" s="1" t="str">
        <f>"14"</f>
        <v>14</v>
      </c>
      <c r="H2911" s="1" t="str">
        <f>"Результат"</f>
        <v>Результат</v>
      </c>
      <c r="I2911" s="1" t="str">
        <f>"Позитивний"</f>
        <v>Позитивний</v>
      </c>
      <c r="J2911" s="1" t="str">
        <f>"Ні"</f>
        <v>Ні</v>
      </c>
    </row>
    <row r="2912" spans="1:10" ht="225" x14ac:dyDescent="0.25">
      <c r="A2912" s="1" t="str">
        <f>"2933-2020/27"</f>
        <v>2933-2020/27</v>
      </c>
      <c r="B2912" s="1" t="str">
        <f t="shared" si="490"/>
        <v>12.06.2020</v>
      </c>
      <c r="C2912" s="1" t="str">
        <f>"На обробці в адмін. органі"</f>
        <v>На обробці в адмін. органі</v>
      </c>
      <c r="D2912" s="1" t="s">
        <v>1</v>
      </c>
      <c r="E2912" s="1" t="str">
        <f>"Будівництво"</f>
        <v>Будівництво</v>
      </c>
      <c r="F291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912" s="1" t="str">
        <f>"30"</f>
        <v>30</v>
      </c>
      <c r="H2912" s="1" t="str">
        <f>""</f>
        <v/>
      </c>
      <c r="I2912" s="1" t="str">
        <f>""</f>
        <v/>
      </c>
      <c r="J2912" s="1" t="str">
        <f>"Ні"</f>
        <v>Ні</v>
      </c>
    </row>
    <row r="2913" spans="1:10" ht="45" x14ac:dyDescent="0.25">
      <c r="A2913" s="1" t="str">
        <f>"2946-2020/27"</f>
        <v>2946-2020/27</v>
      </c>
      <c r="B2913" s="1" t="str">
        <f t="shared" si="490"/>
        <v>12.06.2020</v>
      </c>
      <c r="C2913" s="1" t="str">
        <f t="shared" ref="C2913:C2938" si="491">"Закрито"</f>
        <v>Закрито</v>
      </c>
      <c r="D2913" s="1" t="str">
        <f>"Видача дозволу на порушення об’єктів благоустрою"</f>
        <v>Видача дозволу на порушення об’єктів благоустрою</v>
      </c>
      <c r="E2913" s="1" t="str">
        <f>"Об’єкти благоустрою"</f>
        <v>Об’єкти благоустрою</v>
      </c>
      <c r="F2913" s="1" t="str">
        <f>"Виконавчий комітет Новокаховської міської ради"</f>
        <v>Виконавчий комітет Новокаховської міської ради</v>
      </c>
      <c r="G2913" s="1" t="str">
        <f>"10"</f>
        <v>10</v>
      </c>
      <c r="H2913" s="1" t="str">
        <f>"Результат"</f>
        <v>Результат</v>
      </c>
      <c r="I2913" s="1" t="str">
        <f>"Позитивний"</f>
        <v>Позитивний</v>
      </c>
      <c r="J2913" s="1" t="str">
        <f>"Ні"</f>
        <v>Ні</v>
      </c>
    </row>
    <row r="2914" spans="1:10" ht="135" x14ac:dyDescent="0.25">
      <c r="A2914" s="1" t="str">
        <f>"2943-2020/27"</f>
        <v>2943-2020/27</v>
      </c>
      <c r="B2914" s="1" t="str">
        <f t="shared" si="490"/>
        <v>12.06.2020</v>
      </c>
      <c r="C2914" s="1" t="str">
        <f t="shared" si="491"/>
        <v>Закрито</v>
      </c>
      <c r="D291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14" s="1" t="str">
        <f>"Земельні питання"</f>
        <v>Земельні питання</v>
      </c>
      <c r="F291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14" s="1" t="str">
        <f>"14"</f>
        <v>14</v>
      </c>
      <c r="H2914" s="1" t="str">
        <f>"Результат"</f>
        <v>Результат</v>
      </c>
      <c r="I2914" s="1" t="str">
        <f>"Позитивний"</f>
        <v>Позитивний</v>
      </c>
      <c r="J2914" s="1" t="str">
        <f>"Ні"</f>
        <v>Ні</v>
      </c>
    </row>
    <row r="2915" spans="1:10" ht="45" x14ac:dyDescent="0.25">
      <c r="A2915" s="1" t="str">
        <f>"2939-2020/27"</f>
        <v>2939-2020/27</v>
      </c>
      <c r="B2915" s="1" t="str">
        <f t="shared" si="490"/>
        <v>12.06.2020</v>
      </c>
      <c r="C2915" s="1" t="str">
        <f t="shared" si="491"/>
        <v>Закрито</v>
      </c>
      <c r="D2915" s="1" t="str">
        <f>"Зняття з реєстрації місця проживання"</f>
        <v>Зняття з реєстрації місця проживання</v>
      </c>
      <c r="E2915" s="1" t="str">
        <f>"Реєстрація місця проживання"</f>
        <v>Реєстрація місця проживання</v>
      </c>
      <c r="F2915" s="1" t="str">
        <f>"Відділ реєстрації Новокаховської міської ради"</f>
        <v>Відділ реєстрації Новокаховської міської ради</v>
      </c>
      <c r="G2915" s="1" t="str">
        <f>"1"</f>
        <v>1</v>
      </c>
      <c r="H2915" s="1" t="str">
        <f>"Результат"</f>
        <v>Результат</v>
      </c>
      <c r="I2915" s="1" t="str">
        <f>"Позитивний"</f>
        <v>Позитивний</v>
      </c>
      <c r="J2915" s="1" t="str">
        <f>"Так"</f>
        <v>Так</v>
      </c>
    </row>
    <row r="2916" spans="1:10" ht="135" x14ac:dyDescent="0.25">
      <c r="A2916" s="1" t="str">
        <f>"2942-2020/27"</f>
        <v>2942-2020/27</v>
      </c>
      <c r="B2916" s="1" t="str">
        <f t="shared" si="490"/>
        <v>12.06.2020</v>
      </c>
      <c r="C2916" s="1" t="str">
        <f t="shared" si="491"/>
        <v>Закрито</v>
      </c>
      <c r="D291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916" s="1" t="str">
        <f>"Земельні питання"</f>
        <v>Земельні питання</v>
      </c>
      <c r="F291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16" s="1" t="str">
        <f>"14"</f>
        <v>14</v>
      </c>
      <c r="H2916" s="1" t="str">
        <f>"Результат"</f>
        <v>Результат</v>
      </c>
      <c r="I2916" s="1" t="str">
        <f>"Позитивний"</f>
        <v>Позитивний</v>
      </c>
      <c r="J2916" s="1" t="str">
        <f>"Ні"</f>
        <v>Ні</v>
      </c>
    </row>
    <row r="2917" spans="1:10" ht="135" x14ac:dyDescent="0.25">
      <c r="A2917" s="1" t="str">
        <f>"2953-2020/27"</f>
        <v>2953-2020/27</v>
      </c>
      <c r="B2917" s="1" t="str">
        <f t="shared" si="490"/>
        <v>12.06.2020</v>
      </c>
      <c r="C2917" s="1" t="str">
        <f t="shared" si="491"/>
        <v>Закрито</v>
      </c>
      <c r="D291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17" s="1" t="str">
        <f>"Земельні питання"</f>
        <v>Земельні питання</v>
      </c>
      <c r="F291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17" s="1" t="str">
        <f>"3"</f>
        <v>3</v>
      </c>
      <c r="H2917" s="1" t="str">
        <f>"Результат"</f>
        <v>Результат</v>
      </c>
      <c r="I2917" s="1" t="str">
        <f>"Позитивний"</f>
        <v>Позитивний</v>
      </c>
      <c r="J2917" s="1" t="str">
        <f>"Ні"</f>
        <v>Ні</v>
      </c>
    </row>
    <row r="2918" spans="1:10" ht="45" x14ac:dyDescent="0.25">
      <c r="A2918" s="1" t="str">
        <f>"2930-2020/27"</f>
        <v>2930-2020/27</v>
      </c>
      <c r="B2918" s="1" t="str">
        <f t="shared" si="490"/>
        <v>12.06.2020</v>
      </c>
      <c r="C2918" s="1" t="str">
        <f t="shared" si="491"/>
        <v>Закрито</v>
      </c>
      <c r="D2918" s="1" t="str">
        <f>"Реєстрація місця проживання особи"</f>
        <v>Реєстрація місця проживання особи</v>
      </c>
      <c r="E2918" s="1" t="str">
        <f>"Реєстрація місця проживання"</f>
        <v>Реєстрація місця проживання</v>
      </c>
      <c r="F2918" s="1" t="str">
        <f>"Відділ реєстрації Новокаховської міської ради"</f>
        <v>Відділ реєстрації Новокаховської міської ради</v>
      </c>
      <c r="G2918" s="1" t="str">
        <f>"1"</f>
        <v>1</v>
      </c>
      <c r="H2918" s="1" t="str">
        <f>"Результат"</f>
        <v>Результат</v>
      </c>
      <c r="I2918" s="1" t="str">
        <f>"Позитивний"</f>
        <v>Позитивний</v>
      </c>
      <c r="J2918" s="1" t="str">
        <f>"Так"</f>
        <v>Так</v>
      </c>
    </row>
    <row r="2919" spans="1:10" ht="90" x14ac:dyDescent="0.25">
      <c r="A2919" s="1" t="str">
        <f>"2944-2020/27"</f>
        <v>2944-2020/27</v>
      </c>
      <c r="B2919" s="1" t="str">
        <f t="shared" si="490"/>
        <v>12.06.2020</v>
      </c>
      <c r="C2919" s="1" t="str">
        <f t="shared" si="491"/>
        <v>Закрито</v>
      </c>
      <c r="D291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19" s="1" t="str">
        <f>"Інші послуги"</f>
        <v>Інші послуги</v>
      </c>
      <c r="F291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19" s="1" t="str">
        <f>"5"</f>
        <v>5</v>
      </c>
      <c r="H2919" s="1" t="str">
        <f>"Результат"</f>
        <v>Результат</v>
      </c>
      <c r="I2919" s="1" t="str">
        <f>"Позитивний"</f>
        <v>Позитивний</v>
      </c>
      <c r="J2919" s="1" t="str">
        <f>"Ні"</f>
        <v>Ні</v>
      </c>
    </row>
    <row r="2920" spans="1:10" ht="45" x14ac:dyDescent="0.25">
      <c r="A2920" s="1" t="str">
        <f>"2931-2020/27"</f>
        <v>2931-2020/27</v>
      </c>
      <c r="B2920" s="1" t="str">
        <f t="shared" si="490"/>
        <v>12.06.2020</v>
      </c>
      <c r="C2920" s="1" t="str">
        <f t="shared" si="491"/>
        <v>Закрито</v>
      </c>
      <c r="D2920" s="1" t="str">
        <f>"Реєстрація місця проживання особи"</f>
        <v>Реєстрація місця проживання особи</v>
      </c>
      <c r="E2920" s="1" t="str">
        <f>"Реєстрація місця проживання"</f>
        <v>Реєстрація місця проживання</v>
      </c>
      <c r="F2920" s="1" t="str">
        <f>"Відділ реєстрації Новокаховської міської ради"</f>
        <v>Відділ реєстрації Новокаховської міської ради</v>
      </c>
      <c r="G2920" s="1" t="str">
        <f>"1"</f>
        <v>1</v>
      </c>
      <c r="H2920" s="1" t="str">
        <f>"Результат"</f>
        <v>Результат</v>
      </c>
      <c r="I2920" s="1" t="str">
        <f>"Позитивний"</f>
        <v>Позитивний</v>
      </c>
      <c r="J2920" s="1" t="str">
        <f>"Так"</f>
        <v>Так</v>
      </c>
    </row>
    <row r="2921" spans="1:10" ht="135" x14ac:dyDescent="0.25">
      <c r="A2921" s="1" t="str">
        <f>"2948-2020/27"</f>
        <v>2948-2020/27</v>
      </c>
      <c r="B2921" s="1" t="str">
        <f t="shared" si="490"/>
        <v>12.06.2020</v>
      </c>
      <c r="C2921" s="1" t="str">
        <f t="shared" si="491"/>
        <v>Закрито</v>
      </c>
      <c r="D29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21" s="1" t="str">
        <f>"Земельні питання"</f>
        <v>Земельні питання</v>
      </c>
      <c r="F29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21" s="1" t="str">
        <f>"1"</f>
        <v>1</v>
      </c>
      <c r="H2921" s="1" t="str">
        <f>"Результат"</f>
        <v>Результат</v>
      </c>
      <c r="I2921" s="1" t="str">
        <f>"Позитивний"</f>
        <v>Позитивний</v>
      </c>
      <c r="J2921" s="1" t="str">
        <f>"Так"</f>
        <v>Так</v>
      </c>
    </row>
    <row r="2922" spans="1:10" ht="135" x14ac:dyDescent="0.25">
      <c r="A2922" s="1" t="str">
        <f>"2951-2020/27"</f>
        <v>2951-2020/27</v>
      </c>
      <c r="B2922" s="1" t="str">
        <f t="shared" si="490"/>
        <v>12.06.2020</v>
      </c>
      <c r="C2922" s="1" t="str">
        <f t="shared" si="491"/>
        <v>Закрито</v>
      </c>
      <c r="D292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22" s="1" t="str">
        <f>"Земельні питання"</f>
        <v>Земельні питання</v>
      </c>
      <c r="F292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22" s="1" t="str">
        <f>"3"</f>
        <v>3</v>
      </c>
      <c r="H2922" s="1" t="str">
        <f>"Результат"</f>
        <v>Результат</v>
      </c>
      <c r="I2922" s="1" t="str">
        <f>"Позитивний"</f>
        <v>Позитивний</v>
      </c>
      <c r="J2922" s="1" t="str">
        <f>"Ні"</f>
        <v>Ні</v>
      </c>
    </row>
    <row r="2923" spans="1:10" ht="45" x14ac:dyDescent="0.25">
      <c r="A2923" s="1" t="str">
        <f>"2940-2020/27"</f>
        <v>2940-2020/27</v>
      </c>
      <c r="B2923" s="1" t="str">
        <f t="shared" si="490"/>
        <v>12.06.2020</v>
      </c>
      <c r="C2923" s="1" t="str">
        <f t="shared" si="491"/>
        <v>Закрито</v>
      </c>
      <c r="D2923" s="1" t="str">
        <f>"Зняття з реєстрації місця проживання"</f>
        <v>Зняття з реєстрації місця проживання</v>
      </c>
      <c r="E2923" s="1" t="str">
        <f>"Реєстрація місця проживання"</f>
        <v>Реєстрація місця проживання</v>
      </c>
      <c r="F2923" s="1" t="str">
        <f>"Відділ реєстрації Новокаховської міської ради"</f>
        <v>Відділ реєстрації Новокаховської міської ради</v>
      </c>
      <c r="G2923" s="1" t="str">
        <f>"1"</f>
        <v>1</v>
      </c>
      <c r="H2923" s="1" t="str">
        <f>"Результат"</f>
        <v>Результат</v>
      </c>
      <c r="I2923" s="1" t="str">
        <f>"Позитивний"</f>
        <v>Позитивний</v>
      </c>
      <c r="J2923" s="1" t="str">
        <f>"Так"</f>
        <v>Так</v>
      </c>
    </row>
    <row r="2924" spans="1:10" ht="135" x14ac:dyDescent="0.25">
      <c r="A2924" s="1" t="str">
        <f>"2937-2020/27"</f>
        <v>2937-2020/27</v>
      </c>
      <c r="B2924" s="1" t="str">
        <f t="shared" si="490"/>
        <v>12.06.2020</v>
      </c>
      <c r="C2924" s="1" t="str">
        <f t="shared" si="491"/>
        <v>Закрито</v>
      </c>
      <c r="D292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2924" s="1" t="str">
        <f>"Земельні питання"</f>
        <v>Земельні питання</v>
      </c>
      <c r="F292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24" s="1" t="str">
        <f>"14"</f>
        <v>14</v>
      </c>
      <c r="H2924" s="1" t="str">
        <f>"Результат"</f>
        <v>Результат</v>
      </c>
      <c r="I2924" s="1" t="str">
        <f>"Позитивний"</f>
        <v>Позитивний</v>
      </c>
      <c r="J2924" s="1" t="str">
        <f>"Ні"</f>
        <v>Ні</v>
      </c>
    </row>
    <row r="2925" spans="1:10" ht="135" x14ac:dyDescent="0.25">
      <c r="A2925" s="1" t="str">
        <f>"2949-2020/27"</f>
        <v>2949-2020/27</v>
      </c>
      <c r="B2925" s="1" t="str">
        <f t="shared" si="490"/>
        <v>12.06.2020</v>
      </c>
      <c r="C2925" s="1" t="str">
        <f t="shared" si="491"/>
        <v>Закрито</v>
      </c>
      <c r="D292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25" s="1" t="str">
        <f>"Земельні питання"</f>
        <v>Земельні питання</v>
      </c>
      <c r="F29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25" s="1" t="str">
        <f>"3"</f>
        <v>3</v>
      </c>
      <c r="H2925" s="1" t="str">
        <f>"Результат"</f>
        <v>Результат</v>
      </c>
      <c r="I2925" s="1" t="str">
        <f>"Позитивний"</f>
        <v>Позитивний</v>
      </c>
      <c r="J2925" s="1" t="str">
        <f>"Ні"</f>
        <v>Ні</v>
      </c>
    </row>
    <row r="2926" spans="1:10" ht="135" x14ac:dyDescent="0.25">
      <c r="A2926" s="1" t="str">
        <f>"2934-2020/27"</f>
        <v>2934-2020/27</v>
      </c>
      <c r="B2926" s="1" t="str">
        <f t="shared" si="490"/>
        <v>12.06.2020</v>
      </c>
      <c r="C2926" s="1" t="str">
        <f t="shared" si="491"/>
        <v>Закрито</v>
      </c>
      <c r="D292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26" s="1" t="str">
        <f>"Земельні питання"</f>
        <v>Земельні питання</v>
      </c>
      <c r="F292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26" s="1" t="str">
        <f>"14"</f>
        <v>14</v>
      </c>
      <c r="H2926" s="1" t="str">
        <f>"Результат"</f>
        <v>Результат</v>
      </c>
      <c r="I2926" s="1" t="str">
        <f>"Позитивний"</f>
        <v>Позитивний</v>
      </c>
      <c r="J2926" s="1" t="str">
        <f>"Ні"</f>
        <v>Ні</v>
      </c>
    </row>
    <row r="2927" spans="1:10" ht="135" x14ac:dyDescent="0.25">
      <c r="A2927" s="1" t="str">
        <f>"2954-2020/27"</f>
        <v>2954-2020/27</v>
      </c>
      <c r="B2927" s="1" t="str">
        <f t="shared" si="490"/>
        <v>12.06.2020</v>
      </c>
      <c r="C2927" s="1" t="str">
        <f t="shared" si="491"/>
        <v>Закрито</v>
      </c>
      <c r="D2927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27" s="1" t="str">
        <f>"Земельні питання"</f>
        <v>Земельні питання</v>
      </c>
      <c r="F292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27" s="1" t="str">
        <f>"3"</f>
        <v>3</v>
      </c>
      <c r="H2927" s="1" t="str">
        <f>"Результат"</f>
        <v>Результат</v>
      </c>
      <c r="I2927" s="1" t="str">
        <f>"Позитивний"</f>
        <v>Позитивний</v>
      </c>
      <c r="J2927" s="1" t="str">
        <f>"Ні"</f>
        <v>Ні</v>
      </c>
    </row>
    <row r="2928" spans="1:10" ht="135" x14ac:dyDescent="0.25">
      <c r="A2928" s="1" t="str">
        <f>"2947-2020/27"</f>
        <v>2947-2020/27</v>
      </c>
      <c r="B2928" s="1" t="str">
        <f t="shared" si="490"/>
        <v>12.06.2020</v>
      </c>
      <c r="C2928" s="1" t="str">
        <f t="shared" si="491"/>
        <v>Закрито</v>
      </c>
      <c r="D29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28" s="1" t="str">
        <f>"Земельні питання"</f>
        <v>Земельні питання</v>
      </c>
      <c r="F29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28" s="1" t="str">
        <f>"1"</f>
        <v>1</v>
      </c>
      <c r="H2928" s="1" t="str">
        <f>"Результат"</f>
        <v>Результат</v>
      </c>
      <c r="I2928" s="1" t="str">
        <f>"Позитивний"</f>
        <v>Позитивний</v>
      </c>
      <c r="J2928" s="1" t="str">
        <f>"Так"</f>
        <v>Так</v>
      </c>
    </row>
    <row r="2929" spans="1:10" ht="45" x14ac:dyDescent="0.25">
      <c r="A2929" s="1" t="str">
        <f>"2995-2020/27"</f>
        <v>2995-2020/27</v>
      </c>
      <c r="B2929" s="1" t="str">
        <f t="shared" ref="B2929:B2950" si="492">"15.06.2020"</f>
        <v>15.06.2020</v>
      </c>
      <c r="C2929" s="1" t="str">
        <f t="shared" si="491"/>
        <v>Закрито</v>
      </c>
      <c r="D2929" s="1" t="str">
        <f>"Зняття з реєстрації місця проживання"</f>
        <v>Зняття з реєстрації місця проживання</v>
      </c>
      <c r="E2929" s="1" t="str">
        <f>"Реєстрація місця проживання"</f>
        <v>Реєстрація місця проживання</v>
      </c>
      <c r="F2929" s="1" t="str">
        <f>"Відділ реєстрації Новокаховської міської ради"</f>
        <v>Відділ реєстрації Новокаховської міської ради</v>
      </c>
      <c r="G2929" s="1" t="str">
        <f>"1"</f>
        <v>1</v>
      </c>
      <c r="H2929" s="1" t="str">
        <f>"Результат"</f>
        <v>Результат</v>
      </c>
      <c r="I2929" s="1" t="str">
        <f>"Позитивний"</f>
        <v>Позитивний</v>
      </c>
      <c r="J2929" s="1" t="str">
        <f>"Так"</f>
        <v>Так</v>
      </c>
    </row>
    <row r="2930" spans="1:10" ht="225" x14ac:dyDescent="0.25">
      <c r="A2930" s="1" t="str">
        <f>"2999-2020/27"</f>
        <v>2999-2020/27</v>
      </c>
      <c r="B2930" s="1" t="str">
        <f t="shared" si="492"/>
        <v>15.06.2020</v>
      </c>
      <c r="C2930" s="1" t="str">
        <f t="shared" si="491"/>
        <v>Закрито</v>
      </c>
      <c r="D2930" s="1" t="s">
        <v>1</v>
      </c>
      <c r="E2930" s="1" t="str">
        <f>"Будівництво"</f>
        <v>Будівництво</v>
      </c>
      <c r="F293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930" s="1" t="str">
        <f>"30"</f>
        <v>30</v>
      </c>
      <c r="H2930" s="1" t="str">
        <f>"Результат"</f>
        <v>Результат</v>
      </c>
      <c r="I2930" s="1" t="str">
        <f>"Позитивний"</f>
        <v>Позитивний</v>
      </c>
      <c r="J2930" s="1" t="str">
        <f>"Ні"</f>
        <v>Ні</v>
      </c>
    </row>
    <row r="2931" spans="1:10" ht="135" x14ac:dyDescent="0.25">
      <c r="A2931" s="1" t="str">
        <f>"3001-2020/27"</f>
        <v>3001-2020/27</v>
      </c>
      <c r="B2931" s="1" t="str">
        <f t="shared" si="492"/>
        <v>15.06.2020</v>
      </c>
      <c r="C2931" s="1" t="str">
        <f t="shared" si="491"/>
        <v>Закрито</v>
      </c>
      <c r="D293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31" s="1" t="str">
        <f>"Земельні питання"</f>
        <v>Земельні питання</v>
      </c>
      <c r="F293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31" s="1" t="str">
        <f>"1"</f>
        <v>1</v>
      </c>
      <c r="H2931" s="1" t="str">
        <f>"Результат"</f>
        <v>Результат</v>
      </c>
      <c r="I2931" s="1" t="str">
        <f>"Позитивний"</f>
        <v>Позитивний</v>
      </c>
      <c r="J2931" s="1" t="str">
        <f>"Так"</f>
        <v>Так</v>
      </c>
    </row>
    <row r="2932" spans="1:10" ht="135" x14ac:dyDescent="0.25">
      <c r="A2932" s="1" t="str">
        <f>"3003-2020/27"</f>
        <v>3003-2020/27</v>
      </c>
      <c r="B2932" s="1" t="str">
        <f t="shared" si="492"/>
        <v>15.06.2020</v>
      </c>
      <c r="C2932" s="1" t="str">
        <f t="shared" si="491"/>
        <v>Закрито</v>
      </c>
      <c r="D293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32" s="1" t="str">
        <f>"Земельні питання"</f>
        <v>Земельні питання</v>
      </c>
      <c r="F293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32" s="1" t="str">
        <f>"3"</f>
        <v>3</v>
      </c>
      <c r="H2932" s="1" t="str">
        <f>"Результат"</f>
        <v>Результат</v>
      </c>
      <c r="I2932" s="1" t="str">
        <f>"Позитивний"</f>
        <v>Позитивний</v>
      </c>
      <c r="J2932" s="1" t="str">
        <f>"Ні"</f>
        <v>Ні</v>
      </c>
    </row>
    <row r="2933" spans="1:10" ht="135" x14ac:dyDescent="0.25">
      <c r="A2933" s="1" t="str">
        <f>"2988-2020/27"</f>
        <v>2988-2020/27</v>
      </c>
      <c r="B2933" s="1" t="str">
        <f t="shared" si="492"/>
        <v>15.06.2020</v>
      </c>
      <c r="C2933" s="1" t="str">
        <f t="shared" si="491"/>
        <v>Закрито</v>
      </c>
      <c r="D293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33" s="1" t="str">
        <f>"Земельні питання"</f>
        <v>Земельні питання</v>
      </c>
      <c r="F293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33" s="1" t="str">
        <f>"1"</f>
        <v>1</v>
      </c>
      <c r="H2933" s="1" t="str">
        <f>"Результат"</f>
        <v>Результат</v>
      </c>
      <c r="I2933" s="1" t="str">
        <f>"Позитивний"</f>
        <v>Позитивний</v>
      </c>
      <c r="J2933" s="1" t="str">
        <f>"Так"</f>
        <v>Так</v>
      </c>
    </row>
    <row r="2934" spans="1:10" ht="135" x14ac:dyDescent="0.25">
      <c r="A2934" s="1" t="str">
        <f>"2998-2020/27"</f>
        <v>2998-2020/27</v>
      </c>
      <c r="B2934" s="1" t="str">
        <f t="shared" si="492"/>
        <v>15.06.2020</v>
      </c>
      <c r="C2934" s="1" t="str">
        <f t="shared" si="491"/>
        <v>Закрито</v>
      </c>
      <c r="D293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34" s="1" t="str">
        <f>"Земельні питання"</f>
        <v>Земельні питання</v>
      </c>
      <c r="F29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34" s="1" t="str">
        <f>"14"</f>
        <v>14</v>
      </c>
      <c r="H2934" s="1" t="str">
        <f>"Результат"</f>
        <v>Результат</v>
      </c>
      <c r="I2934" s="1" t="str">
        <f>"Позитивний"</f>
        <v>Позитивний</v>
      </c>
      <c r="J2934" s="1" t="str">
        <f>"Ні"</f>
        <v>Ні</v>
      </c>
    </row>
    <row r="2935" spans="1:10" ht="135" x14ac:dyDescent="0.25">
      <c r="A2935" s="1" t="str">
        <f>"3007-2020/27"</f>
        <v>3007-2020/27</v>
      </c>
      <c r="B2935" s="1" t="str">
        <f t="shared" si="492"/>
        <v>15.06.2020</v>
      </c>
      <c r="C2935" s="1" t="str">
        <f t="shared" si="491"/>
        <v>Закрито</v>
      </c>
      <c r="D293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35" s="1" t="str">
        <f>"Земельні питання"</f>
        <v>Земельні питання</v>
      </c>
      <c r="F29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35" s="1" t="str">
        <f>"14"</f>
        <v>14</v>
      </c>
      <c r="H2935" s="1" t="str">
        <f>"Результат"</f>
        <v>Результат</v>
      </c>
      <c r="I2935" s="1" t="str">
        <f>"Позитивний"</f>
        <v>Позитивний</v>
      </c>
      <c r="J2935" s="1" t="str">
        <f>"Ні"</f>
        <v>Ні</v>
      </c>
    </row>
    <row r="2936" spans="1:10" ht="90" x14ac:dyDescent="0.25">
      <c r="A2936" s="1" t="str">
        <f>"2992-2020/27"</f>
        <v>2992-2020/27</v>
      </c>
      <c r="B2936" s="1" t="str">
        <f t="shared" si="492"/>
        <v>15.06.2020</v>
      </c>
      <c r="C2936" s="1" t="str">
        <f t="shared" si="491"/>
        <v>Закрито</v>
      </c>
      <c r="D293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36" s="1" t="str">
        <f>"Інші послуги"</f>
        <v>Інші послуги</v>
      </c>
      <c r="F293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36" s="1" t="str">
        <f>"5"</f>
        <v>5</v>
      </c>
      <c r="H2936" s="1" t="str">
        <f>"Результат"</f>
        <v>Результат</v>
      </c>
      <c r="I2936" s="1" t="str">
        <f>"Позитивний"</f>
        <v>Позитивний</v>
      </c>
      <c r="J2936" s="1" t="str">
        <f>"Ні"</f>
        <v>Ні</v>
      </c>
    </row>
    <row r="2937" spans="1:10" ht="45" x14ac:dyDescent="0.25">
      <c r="A2937" s="1" t="str">
        <f>"3004-2020/27"</f>
        <v>3004-2020/27</v>
      </c>
      <c r="B2937" s="1" t="str">
        <f t="shared" si="492"/>
        <v>15.06.2020</v>
      </c>
      <c r="C2937" s="1" t="str">
        <f t="shared" si="491"/>
        <v>Закрито</v>
      </c>
      <c r="D2937" s="1" t="str">
        <f>"Зняття з реєстрації місця проживання"</f>
        <v>Зняття з реєстрації місця проживання</v>
      </c>
      <c r="E2937" s="1" t="str">
        <f>"Реєстрація місця проживання"</f>
        <v>Реєстрація місця проживання</v>
      </c>
      <c r="F2937" s="1" t="str">
        <f>"Відділ реєстрації Новокаховської міської ради"</f>
        <v>Відділ реєстрації Новокаховської міської ради</v>
      </c>
      <c r="G2937" s="1" t="str">
        <f>"1"</f>
        <v>1</v>
      </c>
      <c r="H2937" s="1" t="str">
        <f>"Результат"</f>
        <v>Результат</v>
      </c>
      <c r="I2937" s="1" t="str">
        <f>"Позитивний"</f>
        <v>Позитивний</v>
      </c>
      <c r="J2937" s="1" t="str">
        <f>"Так"</f>
        <v>Так</v>
      </c>
    </row>
    <row r="2938" spans="1:10" ht="135" x14ac:dyDescent="0.25">
      <c r="A2938" s="1" t="str">
        <f>"3000-2020/27"</f>
        <v>3000-2020/27</v>
      </c>
      <c r="B2938" s="1" t="str">
        <f t="shared" si="492"/>
        <v>15.06.2020</v>
      </c>
      <c r="C2938" s="1" t="str">
        <f t="shared" si="491"/>
        <v>Закрито</v>
      </c>
      <c r="D293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38" s="1" t="str">
        <f>"Земельні питання"</f>
        <v>Земельні питання</v>
      </c>
      <c r="F293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38" s="1" t="str">
        <f>"14"</f>
        <v>14</v>
      </c>
      <c r="H2938" s="1" t="str">
        <f>"Результат"</f>
        <v>Результат</v>
      </c>
      <c r="I2938" s="1" t="str">
        <f>"Позитивний"</f>
        <v>Позитивний</v>
      </c>
      <c r="J2938" s="1" t="str">
        <f>"Ні"</f>
        <v>Ні</v>
      </c>
    </row>
    <row r="2939" spans="1:10" ht="150" x14ac:dyDescent="0.25">
      <c r="A2939" s="1" t="str">
        <f>"3006-2020/27"</f>
        <v>3006-2020/27</v>
      </c>
      <c r="B2939" s="1" t="str">
        <f t="shared" si="492"/>
        <v>15.06.2020</v>
      </c>
      <c r="C2939" s="1" t="str">
        <f>"На обробці в адмін. органі"</f>
        <v>На обробці в адмін. органі</v>
      </c>
      <c r="D2939" s="1" t="str">
        <f>"Видача,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(СС2)."</f>
        <v>Видача, внесення змін, анулювання дозволу на виконання будівельних робіт (для об’єктів, що за класом наслідків (відповідальності) належать до об’єктів з середніми наслідками (СС2).</v>
      </c>
      <c r="E2939" s="1" t="str">
        <f>"Будівництво"</f>
        <v>Будівництво</v>
      </c>
      <c r="F293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939" s="1" t="str">
        <f>"10"</f>
        <v>10</v>
      </c>
      <c r="H2939" s="1" t="str">
        <f>""</f>
        <v/>
      </c>
      <c r="I2939" s="1" t="str">
        <f>""</f>
        <v/>
      </c>
      <c r="J2939" s="1" t="str">
        <f>"Ні"</f>
        <v>Ні</v>
      </c>
    </row>
    <row r="2940" spans="1:10" ht="45" x14ac:dyDescent="0.25">
      <c r="A2940" s="1" t="str">
        <f>"2997-2020/27"</f>
        <v>2997-2020/27</v>
      </c>
      <c r="B2940" s="1" t="str">
        <f t="shared" si="492"/>
        <v>15.06.2020</v>
      </c>
      <c r="C2940" s="1" t="str">
        <f>"Закрито"</f>
        <v>Закрито</v>
      </c>
      <c r="D2940" s="1" t="str">
        <f>"Реєстрація місця проживання особи"</f>
        <v>Реєстрація місця проживання особи</v>
      </c>
      <c r="E2940" s="1" t="str">
        <f>"Реєстрація місця проживання"</f>
        <v>Реєстрація місця проживання</v>
      </c>
      <c r="F2940" s="1" t="str">
        <f>"Відділ реєстрації Новокаховської міської ради"</f>
        <v>Відділ реєстрації Новокаховської міської ради</v>
      </c>
      <c r="G2940" s="1" t="str">
        <f>"1"</f>
        <v>1</v>
      </c>
      <c r="H2940" s="1" t="str">
        <f>"Результат"</f>
        <v>Результат</v>
      </c>
      <c r="I2940" s="1" t="str">
        <f>"Позитивний"</f>
        <v>Позитивний</v>
      </c>
      <c r="J2940" s="1" t="str">
        <f>"Так"</f>
        <v>Так</v>
      </c>
    </row>
    <row r="2941" spans="1:10" ht="135" x14ac:dyDescent="0.25">
      <c r="A2941" s="1" t="str">
        <f>"3002-2020/27"</f>
        <v>3002-2020/27</v>
      </c>
      <c r="B2941" s="1" t="str">
        <f t="shared" si="492"/>
        <v>15.06.2020</v>
      </c>
      <c r="C2941" s="1" t="str">
        <f>"Закрито"</f>
        <v>Закрито</v>
      </c>
      <c r="D294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41" s="1" t="str">
        <f>"Земельні питання"</f>
        <v>Земельні питання</v>
      </c>
      <c r="F29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41" s="1" t="str">
        <f>"3"</f>
        <v>3</v>
      </c>
      <c r="H2941" s="1" t="str">
        <f>"Результат"</f>
        <v>Результат</v>
      </c>
      <c r="I2941" s="1" t="str">
        <f>"Позитивний"</f>
        <v>Позитивний</v>
      </c>
      <c r="J2941" s="1" t="str">
        <f>"Ні"</f>
        <v>Ні</v>
      </c>
    </row>
    <row r="2942" spans="1:10" ht="120" x14ac:dyDescent="0.25">
      <c r="A2942" s="1" t="str">
        <f>"3005-2020/27"</f>
        <v>3005-2020/27</v>
      </c>
      <c r="B2942" s="1" t="str">
        <f t="shared" si="492"/>
        <v>15.06.2020</v>
      </c>
      <c r="C2942" s="1" t="str">
        <f t="shared" ref="C2942:C2969" si="493">"Закрито"</f>
        <v>Закрито</v>
      </c>
      <c r="D2942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2942" s="1" t="str">
        <f>"Будівництво"</f>
        <v>Будівництво</v>
      </c>
      <c r="F294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942" s="1" t="str">
        <f>"10"</f>
        <v>10</v>
      </c>
      <c r="H2942" s="1" t="str">
        <f>"Результат"</f>
        <v>Результат</v>
      </c>
      <c r="I2942" s="1" t="str">
        <f>"Позитивний"</f>
        <v>Позитивний</v>
      </c>
      <c r="J2942" s="1" t="str">
        <f>"Ні"</f>
        <v>Ні</v>
      </c>
    </row>
    <row r="2943" spans="1:10" ht="45" x14ac:dyDescent="0.25">
      <c r="A2943" s="1" t="str">
        <f>"2991-2020/27"</f>
        <v>2991-2020/27</v>
      </c>
      <c r="B2943" s="1" t="str">
        <f t="shared" si="492"/>
        <v>15.06.2020</v>
      </c>
      <c r="C2943" s="1" t="str">
        <f t="shared" si="493"/>
        <v>Закрито</v>
      </c>
      <c r="D2943" s="1" t="str">
        <f>"Реєстрація місця проживання особи"</f>
        <v>Реєстрація місця проживання особи</v>
      </c>
      <c r="E2943" s="1" t="str">
        <f>"Реєстрація місця проживання"</f>
        <v>Реєстрація місця проживання</v>
      </c>
      <c r="F2943" s="1" t="str">
        <f>"Відділ реєстрації Новокаховської міської ради"</f>
        <v>Відділ реєстрації Новокаховської міської ради</v>
      </c>
      <c r="G2943" s="1" t="str">
        <f>"1"</f>
        <v>1</v>
      </c>
      <c r="H2943" s="1" t="str">
        <f>"Результат"</f>
        <v>Результат</v>
      </c>
      <c r="I2943" s="1" t="str">
        <f>"Мотивована відмова"</f>
        <v>Мотивована відмова</v>
      </c>
      <c r="J2943" s="1" t="str">
        <f>"Так"</f>
        <v>Так</v>
      </c>
    </row>
    <row r="2944" spans="1:10" ht="45" x14ac:dyDescent="0.25">
      <c r="A2944" s="1" t="str">
        <f>"2990-2020/27"</f>
        <v>2990-2020/27</v>
      </c>
      <c r="B2944" s="1" t="str">
        <f t="shared" si="492"/>
        <v>15.06.2020</v>
      </c>
      <c r="C2944" s="1" t="str">
        <f t="shared" si="493"/>
        <v>Закрито</v>
      </c>
      <c r="D2944" s="1" t="str">
        <f>"Реєстрація місця проживання особи"</f>
        <v>Реєстрація місця проживання особи</v>
      </c>
      <c r="E2944" s="1" t="str">
        <f>"Реєстрація місця проживання"</f>
        <v>Реєстрація місця проживання</v>
      </c>
      <c r="F2944" s="1" t="str">
        <f>"Відділ реєстрації Новокаховської міської ради"</f>
        <v>Відділ реєстрації Новокаховської міської ради</v>
      </c>
      <c r="G2944" s="1" t="str">
        <f>"1"</f>
        <v>1</v>
      </c>
      <c r="H2944" s="1" t="str">
        <f>"Результат"</f>
        <v>Результат</v>
      </c>
      <c r="I2944" s="1" t="str">
        <f>"Позитивний"</f>
        <v>Позитивний</v>
      </c>
      <c r="J2944" s="1" t="str">
        <f>"Так"</f>
        <v>Так</v>
      </c>
    </row>
    <row r="2945" spans="1:10" ht="45" x14ac:dyDescent="0.25">
      <c r="A2945" s="1" t="str">
        <f>"2994-2020/27"</f>
        <v>2994-2020/27</v>
      </c>
      <c r="B2945" s="1" t="str">
        <f t="shared" si="492"/>
        <v>15.06.2020</v>
      </c>
      <c r="C2945" s="1" t="str">
        <f t="shared" si="493"/>
        <v>Закрито</v>
      </c>
      <c r="D2945" s="1" t="str">
        <f>"Реєстрація місця проживання особи"</f>
        <v>Реєстрація місця проживання особи</v>
      </c>
      <c r="E2945" s="1" t="str">
        <f>"Реєстрація місця проживання"</f>
        <v>Реєстрація місця проживання</v>
      </c>
      <c r="F2945" s="1" t="str">
        <f>"Відділ реєстрації Новокаховської міської ради"</f>
        <v>Відділ реєстрації Новокаховської міської ради</v>
      </c>
      <c r="G2945" s="1" t="str">
        <f>"1"</f>
        <v>1</v>
      </c>
      <c r="H2945" s="1" t="str">
        <f>"Результат"</f>
        <v>Результат</v>
      </c>
      <c r="I2945" s="1" t="str">
        <f>"Позитивний"</f>
        <v>Позитивний</v>
      </c>
      <c r="J2945" s="1" t="str">
        <f>"Так"</f>
        <v>Так</v>
      </c>
    </row>
    <row r="2946" spans="1:10" ht="90" x14ac:dyDescent="0.25">
      <c r="A2946" s="1" t="str">
        <f>"2986-2020/27"</f>
        <v>2986-2020/27</v>
      </c>
      <c r="B2946" s="1" t="str">
        <f t="shared" si="492"/>
        <v>15.06.2020</v>
      </c>
      <c r="C2946" s="1" t="str">
        <f t="shared" si="493"/>
        <v>Закрито</v>
      </c>
      <c r="D294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46" s="1" t="str">
        <f>"Інші послуги"</f>
        <v>Інші послуги</v>
      </c>
      <c r="F294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46" s="1" t="str">
        <f>"5"</f>
        <v>5</v>
      </c>
      <c r="H2946" s="1" t="str">
        <f>"Результат"</f>
        <v>Результат</v>
      </c>
      <c r="I2946" s="1" t="str">
        <f>"Позитивний"</f>
        <v>Позитивний</v>
      </c>
      <c r="J2946" s="1" t="str">
        <f>"Ні"</f>
        <v>Ні</v>
      </c>
    </row>
    <row r="2947" spans="1:10" ht="90" x14ac:dyDescent="0.25">
      <c r="A2947" s="1" t="str">
        <f>"2996-2020/27"</f>
        <v>2996-2020/27</v>
      </c>
      <c r="B2947" s="1" t="str">
        <f t="shared" si="492"/>
        <v>15.06.2020</v>
      </c>
      <c r="C2947" s="1" t="str">
        <f t="shared" si="493"/>
        <v>Закрито</v>
      </c>
      <c r="D294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47" s="1" t="str">
        <f>"Інші послуги"</f>
        <v>Інші послуги</v>
      </c>
      <c r="F294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47" s="1" t="str">
        <f>"5"</f>
        <v>5</v>
      </c>
      <c r="H2947" s="1" t="str">
        <f>"Результат"</f>
        <v>Результат</v>
      </c>
      <c r="I2947" s="1" t="str">
        <f>"Позитивний"</f>
        <v>Позитивний</v>
      </c>
      <c r="J2947" s="1" t="str">
        <f>"Ні"</f>
        <v>Ні</v>
      </c>
    </row>
    <row r="2948" spans="1:10" ht="45" x14ac:dyDescent="0.25">
      <c r="A2948" s="1" t="str">
        <f>"2987-2020/27"</f>
        <v>2987-2020/27</v>
      </c>
      <c r="B2948" s="1" t="str">
        <f t="shared" si="492"/>
        <v>15.06.2020</v>
      </c>
      <c r="C2948" s="1" t="str">
        <f t="shared" si="493"/>
        <v>Закрито</v>
      </c>
      <c r="D2948" s="1" t="str">
        <f>"Реєстрація місця проживання особи"</f>
        <v>Реєстрація місця проживання особи</v>
      </c>
      <c r="E2948" s="1" t="str">
        <f>"Реєстрація місця проживання"</f>
        <v>Реєстрація місця проживання</v>
      </c>
      <c r="F2948" s="1" t="str">
        <f>"Відділ реєстрації Новокаховської міської ради"</f>
        <v>Відділ реєстрації Новокаховської міської ради</v>
      </c>
      <c r="G2948" s="1" t="str">
        <f>"1"</f>
        <v>1</v>
      </c>
      <c r="H2948" s="1" t="str">
        <f>"Результат"</f>
        <v>Результат</v>
      </c>
      <c r="I2948" s="1" t="str">
        <f>"Мотивована відмова"</f>
        <v>Мотивована відмова</v>
      </c>
      <c r="J2948" s="1" t="str">
        <f>"Так"</f>
        <v>Так</v>
      </c>
    </row>
    <row r="2949" spans="1:10" ht="45" x14ac:dyDescent="0.25">
      <c r="A2949" s="1" t="str">
        <f>"2989-2020/27"</f>
        <v>2989-2020/27</v>
      </c>
      <c r="B2949" s="1" t="str">
        <f t="shared" si="492"/>
        <v>15.06.2020</v>
      </c>
      <c r="C2949" s="1" t="str">
        <f t="shared" si="493"/>
        <v>Закрито</v>
      </c>
      <c r="D2949" s="1" t="str">
        <f>"Реєстрація місця проживання особи"</f>
        <v>Реєстрація місця проживання особи</v>
      </c>
      <c r="E2949" s="1" t="str">
        <f>"Реєстрація місця проживання"</f>
        <v>Реєстрація місця проживання</v>
      </c>
      <c r="F2949" s="1" t="str">
        <f>"Відділ реєстрації Новокаховської міської ради"</f>
        <v>Відділ реєстрації Новокаховської міської ради</v>
      </c>
      <c r="G2949" s="1" t="str">
        <f>"1"</f>
        <v>1</v>
      </c>
      <c r="H2949" s="1" t="str">
        <f>"Результат"</f>
        <v>Результат</v>
      </c>
      <c r="I2949" s="1" t="str">
        <f>"Позитивний"</f>
        <v>Позитивний</v>
      </c>
      <c r="J2949" s="1" t="str">
        <f>"Так"</f>
        <v>Так</v>
      </c>
    </row>
    <row r="2950" spans="1:10" ht="45" x14ac:dyDescent="0.25">
      <c r="A2950" s="1" t="str">
        <f>"2993-2020/27"</f>
        <v>2993-2020/27</v>
      </c>
      <c r="B2950" s="1" t="str">
        <f t="shared" si="492"/>
        <v>15.06.2020</v>
      </c>
      <c r="C2950" s="1" t="str">
        <f t="shared" si="493"/>
        <v>Закрито</v>
      </c>
      <c r="D2950" s="1" t="str">
        <f>"Реєстрація місця проживання особи"</f>
        <v>Реєстрація місця проживання особи</v>
      </c>
      <c r="E2950" s="1" t="str">
        <f>"Реєстрація місця проживання"</f>
        <v>Реєстрація місця проживання</v>
      </c>
      <c r="F2950" s="1" t="str">
        <f>"Відділ реєстрації Новокаховської міської ради"</f>
        <v>Відділ реєстрації Новокаховської міської ради</v>
      </c>
      <c r="G2950" s="1" t="str">
        <f>"1"</f>
        <v>1</v>
      </c>
      <c r="H2950" s="1" t="str">
        <f>"Результат"</f>
        <v>Результат</v>
      </c>
      <c r="I2950" s="1" t="str">
        <f>"Позитивний"</f>
        <v>Позитивний</v>
      </c>
      <c r="J2950" s="1" t="str">
        <f>"Так"</f>
        <v>Так</v>
      </c>
    </row>
    <row r="2951" spans="1:10" ht="90" x14ac:dyDescent="0.25">
      <c r="A2951" s="1" t="str">
        <f>"3051-2020/27"</f>
        <v>3051-2020/27</v>
      </c>
      <c r="B2951" s="1" t="str">
        <f t="shared" ref="B2951:B2967" si="494">"16.06.2020"</f>
        <v>16.06.2020</v>
      </c>
      <c r="C2951" s="1" t="str">
        <f t="shared" si="493"/>
        <v>Закрито</v>
      </c>
      <c r="D295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51" s="1" t="str">
        <f>"Інші послуги"</f>
        <v>Інші послуги</v>
      </c>
      <c r="F295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51" s="1" t="str">
        <f>"5"</f>
        <v>5</v>
      </c>
      <c r="H2951" s="1" t="str">
        <f>"Результат"</f>
        <v>Результат</v>
      </c>
      <c r="I2951" s="1" t="str">
        <f>"Позитивний"</f>
        <v>Позитивний</v>
      </c>
      <c r="J2951" s="1" t="str">
        <f>"Ні"</f>
        <v>Ні</v>
      </c>
    </row>
    <row r="2952" spans="1:10" ht="135" x14ac:dyDescent="0.25">
      <c r="A2952" s="1" t="str">
        <f>"3052-2020/27"</f>
        <v>3052-2020/27</v>
      </c>
      <c r="B2952" s="1" t="str">
        <f t="shared" si="494"/>
        <v>16.06.2020</v>
      </c>
      <c r="C2952" s="1" t="str">
        <f t="shared" si="493"/>
        <v>Закрито</v>
      </c>
      <c r="D29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52" s="1" t="str">
        <f>"Земельні питання"</f>
        <v>Земельні питання</v>
      </c>
      <c r="F29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52" s="1" t="str">
        <f>"1"</f>
        <v>1</v>
      </c>
      <c r="H2952" s="1" t="str">
        <f>"Результат"</f>
        <v>Результат</v>
      </c>
      <c r="I2952" s="1" t="str">
        <f>"Позитивний"</f>
        <v>Позитивний</v>
      </c>
      <c r="J2952" s="1" t="str">
        <f>"Так"</f>
        <v>Так</v>
      </c>
    </row>
    <row r="2953" spans="1:10" ht="135" x14ac:dyDescent="0.25">
      <c r="A2953" s="1" t="str">
        <f>"3013-2020/27"</f>
        <v>3013-2020/27</v>
      </c>
      <c r="B2953" s="1" t="str">
        <f t="shared" si="494"/>
        <v>16.06.2020</v>
      </c>
      <c r="C2953" s="1" t="str">
        <f t="shared" si="493"/>
        <v>Закрито</v>
      </c>
      <c r="D295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53" s="1" t="str">
        <f>"Земельні питання"</f>
        <v>Земельні питання</v>
      </c>
      <c r="F295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53" s="1" t="str">
        <f>"1"</f>
        <v>1</v>
      </c>
      <c r="H2953" s="1" t="str">
        <f>"Результат"</f>
        <v>Результат</v>
      </c>
      <c r="I2953" s="1" t="str">
        <f>"Позитивний"</f>
        <v>Позитивний</v>
      </c>
      <c r="J2953" s="1" t="str">
        <f>"Ні"</f>
        <v>Ні</v>
      </c>
    </row>
    <row r="2954" spans="1:10" ht="135" x14ac:dyDescent="0.25">
      <c r="A2954" s="1" t="str">
        <f>"3047-2020/27"</f>
        <v>3047-2020/27</v>
      </c>
      <c r="B2954" s="1" t="str">
        <f t="shared" si="494"/>
        <v>16.06.2020</v>
      </c>
      <c r="C2954" s="1" t="str">
        <f t="shared" si="493"/>
        <v>Закрито</v>
      </c>
      <c r="D295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54" s="1" t="str">
        <f>"Земельні питання"</f>
        <v>Земельні питання</v>
      </c>
      <c r="F29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54" s="1" t="str">
        <f>"1"</f>
        <v>1</v>
      </c>
      <c r="H2954" s="1" t="str">
        <f>"Результат"</f>
        <v>Результат</v>
      </c>
      <c r="I2954" s="1" t="str">
        <f>"Позитивний"</f>
        <v>Позитивний</v>
      </c>
      <c r="J2954" s="1" t="str">
        <f>"Так"</f>
        <v>Так</v>
      </c>
    </row>
    <row r="2955" spans="1:10" ht="45" x14ac:dyDescent="0.25">
      <c r="A2955" s="1" t="str">
        <f>"3008-2020/27"</f>
        <v>3008-2020/27</v>
      </c>
      <c r="B2955" s="1" t="str">
        <f t="shared" si="494"/>
        <v>16.06.2020</v>
      </c>
      <c r="C2955" s="1" t="str">
        <f t="shared" si="493"/>
        <v>Закрито</v>
      </c>
      <c r="D2955" s="1" t="str">
        <f>"Зняття з реєстрації місця проживання"</f>
        <v>Зняття з реєстрації місця проживання</v>
      </c>
      <c r="E2955" s="1" t="str">
        <f>"Реєстрація місця проживання"</f>
        <v>Реєстрація місця проживання</v>
      </c>
      <c r="F2955" s="1" t="str">
        <f>"Відділ реєстрації Новокаховської міської ради"</f>
        <v>Відділ реєстрації Новокаховської міської ради</v>
      </c>
      <c r="G2955" s="1" t="str">
        <f>"1"</f>
        <v>1</v>
      </c>
      <c r="H2955" s="1" t="str">
        <f>"Результат"</f>
        <v>Результат</v>
      </c>
      <c r="I2955" s="1" t="str">
        <f>"Позитивний"</f>
        <v>Позитивний</v>
      </c>
      <c r="J2955" s="1" t="str">
        <f>"Так"</f>
        <v>Так</v>
      </c>
    </row>
    <row r="2956" spans="1:10" ht="90" x14ac:dyDescent="0.25">
      <c r="A2956" s="1" t="str">
        <f>"3048-2020/27"</f>
        <v>3048-2020/27</v>
      </c>
      <c r="B2956" s="1" t="str">
        <f t="shared" si="494"/>
        <v>16.06.2020</v>
      </c>
      <c r="C2956" s="1" t="str">
        <f t="shared" si="493"/>
        <v>Закрито</v>
      </c>
      <c r="D295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56" s="1" t="str">
        <f>"Інші послуги"</f>
        <v>Інші послуги</v>
      </c>
      <c r="F295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56" s="1" t="str">
        <f>"5"</f>
        <v>5</v>
      </c>
      <c r="H2956" s="1" t="str">
        <f>"Результат"</f>
        <v>Результат</v>
      </c>
      <c r="I2956" s="1" t="str">
        <f>"Позитивний"</f>
        <v>Позитивний</v>
      </c>
      <c r="J2956" s="1" t="str">
        <f>"Ні"</f>
        <v>Ні</v>
      </c>
    </row>
    <row r="2957" spans="1:10" ht="45" x14ac:dyDescent="0.25">
      <c r="A2957" s="1" t="str">
        <f>"3010-2020/27"</f>
        <v>3010-2020/27</v>
      </c>
      <c r="B2957" s="1" t="str">
        <f t="shared" si="494"/>
        <v>16.06.2020</v>
      </c>
      <c r="C2957" s="1" t="str">
        <f t="shared" si="493"/>
        <v>Закрито</v>
      </c>
      <c r="D2957" s="1" t="str">
        <f>"Реєстрація місця проживання особи"</f>
        <v>Реєстрація місця проживання особи</v>
      </c>
      <c r="E2957" s="1" t="str">
        <f>"Реєстрація місця проживання"</f>
        <v>Реєстрація місця проживання</v>
      </c>
      <c r="F2957" s="1" t="str">
        <f>"Відділ реєстрації Новокаховської міської ради"</f>
        <v>Відділ реєстрації Новокаховської міської ради</v>
      </c>
      <c r="G2957" s="1" t="str">
        <f t="shared" ref="G2957:G2962" si="495">"1"</f>
        <v>1</v>
      </c>
      <c r="H2957" s="1" t="str">
        <f>"Результат"</f>
        <v>Результат</v>
      </c>
      <c r="I2957" s="1" t="str">
        <f>"Позитивний"</f>
        <v>Позитивний</v>
      </c>
      <c r="J2957" s="1" t="str">
        <f t="shared" ref="J2957:J2962" si="496">"Так"</f>
        <v>Так</v>
      </c>
    </row>
    <row r="2958" spans="1:10" ht="135" x14ac:dyDescent="0.25">
      <c r="A2958" s="1" t="str">
        <f>"3053-2020/27"</f>
        <v>3053-2020/27</v>
      </c>
      <c r="B2958" s="1" t="str">
        <f t="shared" si="494"/>
        <v>16.06.2020</v>
      </c>
      <c r="C2958" s="1" t="str">
        <f t="shared" si="493"/>
        <v>Закрито</v>
      </c>
      <c r="D29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58" s="1" t="str">
        <f>"Земельні питання"</f>
        <v>Земельні питання</v>
      </c>
      <c r="F29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58" s="1" t="str">
        <f t="shared" si="495"/>
        <v>1</v>
      </c>
      <c r="H2958" s="1" t="str">
        <f>"Результат"</f>
        <v>Результат</v>
      </c>
      <c r="I2958" s="1" t="str">
        <f>"Позитивний"</f>
        <v>Позитивний</v>
      </c>
      <c r="J2958" s="1" t="str">
        <f t="shared" si="496"/>
        <v>Так</v>
      </c>
    </row>
    <row r="2959" spans="1:10" ht="45" x14ac:dyDescent="0.25">
      <c r="A2959" s="1" t="str">
        <f>"3050-2020/27"</f>
        <v>3050-2020/27</v>
      </c>
      <c r="B2959" s="1" t="str">
        <f t="shared" si="494"/>
        <v>16.06.2020</v>
      </c>
      <c r="C2959" s="1" t="str">
        <f t="shared" si="493"/>
        <v>Закрито</v>
      </c>
      <c r="D2959" s="1" t="str">
        <f>"Реєстрація місця проживання особи"</f>
        <v>Реєстрація місця проживання особи</v>
      </c>
      <c r="E2959" s="1" t="str">
        <f>"Реєстрація місця проживання"</f>
        <v>Реєстрація місця проживання</v>
      </c>
      <c r="F2959" s="1" t="str">
        <f>"Відділ реєстрації Новокаховської міської ради"</f>
        <v>Відділ реєстрації Новокаховської міської ради</v>
      </c>
      <c r="G2959" s="1" t="str">
        <f t="shared" si="495"/>
        <v>1</v>
      </c>
      <c r="H2959" s="1" t="str">
        <f>"Результат"</f>
        <v>Результат</v>
      </c>
      <c r="I2959" s="1" t="str">
        <f>"Позитивний"</f>
        <v>Позитивний</v>
      </c>
      <c r="J2959" s="1" t="str">
        <f t="shared" si="496"/>
        <v>Так</v>
      </c>
    </row>
    <row r="2960" spans="1:10" ht="45" x14ac:dyDescent="0.25">
      <c r="A2960" s="1" t="str">
        <f>"3009-2020/27"</f>
        <v>3009-2020/27</v>
      </c>
      <c r="B2960" s="1" t="str">
        <f t="shared" si="494"/>
        <v>16.06.2020</v>
      </c>
      <c r="C2960" s="1" t="str">
        <f t="shared" si="493"/>
        <v>Закрито</v>
      </c>
      <c r="D2960" s="1" t="str">
        <f>"Зняття з реєстрації місця проживання"</f>
        <v>Зняття з реєстрації місця проживання</v>
      </c>
      <c r="E2960" s="1" t="str">
        <f>"Реєстрація місця проживання"</f>
        <v>Реєстрація місця проживання</v>
      </c>
      <c r="F2960" s="1" t="str">
        <f>"Відділ реєстрації Новокаховської міської ради"</f>
        <v>Відділ реєстрації Новокаховської міської ради</v>
      </c>
      <c r="G2960" s="1" t="str">
        <f t="shared" si="495"/>
        <v>1</v>
      </c>
      <c r="H2960" s="1" t="str">
        <f>"Результат"</f>
        <v>Результат</v>
      </c>
      <c r="I2960" s="1" t="str">
        <f>"Позитивний"</f>
        <v>Позитивний</v>
      </c>
      <c r="J2960" s="1" t="str">
        <f t="shared" si="496"/>
        <v>Так</v>
      </c>
    </row>
    <row r="2961" spans="1:10" ht="135" x14ac:dyDescent="0.25">
      <c r="A2961" s="1" t="str">
        <f>"3054-2020/27"</f>
        <v>3054-2020/27</v>
      </c>
      <c r="B2961" s="1" t="str">
        <f t="shared" si="494"/>
        <v>16.06.2020</v>
      </c>
      <c r="C2961" s="1" t="str">
        <f t="shared" si="493"/>
        <v>Закрито</v>
      </c>
      <c r="D29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61" s="1" t="str">
        <f>"Земельні питання"</f>
        <v>Земельні питання</v>
      </c>
      <c r="F29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1" s="1" t="str">
        <f t="shared" si="495"/>
        <v>1</v>
      </c>
      <c r="H2961" s="1" t="str">
        <f>"Результат"</f>
        <v>Результат</v>
      </c>
      <c r="I2961" s="1" t="str">
        <f>"Позитивний"</f>
        <v>Позитивний</v>
      </c>
      <c r="J2961" s="1" t="str">
        <f t="shared" si="496"/>
        <v>Так</v>
      </c>
    </row>
    <row r="2962" spans="1:10" ht="135" x14ac:dyDescent="0.25">
      <c r="A2962" s="1" t="str">
        <f>"3055-2020/27"</f>
        <v>3055-2020/27</v>
      </c>
      <c r="B2962" s="1" t="str">
        <f t="shared" si="494"/>
        <v>16.06.2020</v>
      </c>
      <c r="C2962" s="1" t="str">
        <f t="shared" si="493"/>
        <v>Закрито</v>
      </c>
      <c r="D296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62" s="1" t="str">
        <f>"Земельні питання"</f>
        <v>Земельні питання</v>
      </c>
      <c r="F29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2" s="1" t="str">
        <f t="shared" si="495"/>
        <v>1</v>
      </c>
      <c r="H2962" s="1" t="str">
        <f>"Результат"</f>
        <v>Результат</v>
      </c>
      <c r="I2962" s="1" t="str">
        <f>"Позитивний"</f>
        <v>Позитивний</v>
      </c>
      <c r="J2962" s="1" t="str">
        <f t="shared" si="496"/>
        <v>Так</v>
      </c>
    </row>
    <row r="2963" spans="1:10" ht="90" x14ac:dyDescent="0.25">
      <c r="A2963" s="1" t="str">
        <f>"3011-2020/27"</f>
        <v>3011-2020/27</v>
      </c>
      <c r="B2963" s="1" t="str">
        <f t="shared" si="494"/>
        <v>16.06.2020</v>
      </c>
      <c r="C2963" s="1" t="str">
        <f t="shared" si="493"/>
        <v>Закрито</v>
      </c>
      <c r="D296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63" s="1" t="str">
        <f>"Інші послуги"</f>
        <v>Інші послуги</v>
      </c>
      <c r="F296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63" s="1" t="str">
        <f>"5"</f>
        <v>5</v>
      </c>
      <c r="H2963" s="1" t="str">
        <f>"Результат"</f>
        <v>Результат</v>
      </c>
      <c r="I2963" s="1" t="str">
        <f>"Позитивний"</f>
        <v>Позитивний</v>
      </c>
      <c r="J2963" s="1" t="str">
        <f>"Ні"</f>
        <v>Ні</v>
      </c>
    </row>
    <row r="2964" spans="1:10" ht="135" x14ac:dyDescent="0.25">
      <c r="A2964" s="1" t="str">
        <f>"3012-2020/27"</f>
        <v>3012-2020/27</v>
      </c>
      <c r="B2964" s="1" t="str">
        <f t="shared" si="494"/>
        <v>16.06.2020</v>
      </c>
      <c r="C2964" s="1" t="str">
        <f t="shared" si="493"/>
        <v>Закрито</v>
      </c>
      <c r="D296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64" s="1" t="str">
        <f>"Земельні питання"</f>
        <v>Земельні питання</v>
      </c>
      <c r="F29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4" s="1" t="str">
        <f>"1"</f>
        <v>1</v>
      </c>
      <c r="H2964" s="1" t="str">
        <f>"Результат"</f>
        <v>Результат</v>
      </c>
      <c r="I2964" s="1" t="str">
        <f>"Позитивний"</f>
        <v>Позитивний</v>
      </c>
      <c r="J2964" s="1" t="str">
        <f>"Ні"</f>
        <v>Ні</v>
      </c>
    </row>
    <row r="2965" spans="1:10" ht="135" x14ac:dyDescent="0.25">
      <c r="A2965" s="1" t="str">
        <f>"3014-2020/27"</f>
        <v>3014-2020/27</v>
      </c>
      <c r="B2965" s="1" t="str">
        <f t="shared" si="494"/>
        <v>16.06.2020</v>
      </c>
      <c r="C2965" s="1" t="str">
        <f t="shared" si="493"/>
        <v>Закрито</v>
      </c>
      <c r="D29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65" s="1" t="str">
        <f>"Земельні питання"</f>
        <v>Земельні питання</v>
      </c>
      <c r="F296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5" s="1" t="str">
        <f>"1"</f>
        <v>1</v>
      </c>
      <c r="H2965" s="1" t="str">
        <f>"Результат"</f>
        <v>Результат</v>
      </c>
      <c r="I2965" s="1" t="str">
        <f>"Позитивний"</f>
        <v>Позитивний</v>
      </c>
      <c r="J2965" s="1" t="str">
        <f>"Ні"</f>
        <v>Ні</v>
      </c>
    </row>
    <row r="2966" spans="1:10" ht="45" x14ac:dyDescent="0.25">
      <c r="A2966" s="1" t="str">
        <f>"3049-2020/27"</f>
        <v>3049-2020/27</v>
      </c>
      <c r="B2966" s="1" t="str">
        <f t="shared" si="494"/>
        <v>16.06.2020</v>
      </c>
      <c r="C2966" s="1" t="str">
        <f t="shared" si="493"/>
        <v>Закрито</v>
      </c>
      <c r="D2966" s="1" t="str">
        <f>"Реєстрація місця проживання особи"</f>
        <v>Реєстрація місця проживання особи</v>
      </c>
      <c r="E2966" s="1" t="str">
        <f>"Реєстрація місця проживання"</f>
        <v>Реєстрація місця проживання</v>
      </c>
      <c r="F2966" s="1" t="str">
        <f>"Відділ реєстрації Новокаховської міської ради"</f>
        <v>Відділ реєстрації Новокаховської міської ради</v>
      </c>
      <c r="G2966" s="1" t="str">
        <f>"1"</f>
        <v>1</v>
      </c>
      <c r="H2966" s="1" t="str">
        <f>"Результат"</f>
        <v>Результат</v>
      </c>
      <c r="I2966" s="1" t="str">
        <f>"Позитивний"</f>
        <v>Позитивний</v>
      </c>
      <c r="J2966" s="1" t="str">
        <f>"Так"</f>
        <v>Так</v>
      </c>
    </row>
    <row r="2967" spans="1:10" ht="135" x14ac:dyDescent="0.25">
      <c r="A2967" s="1" t="str">
        <f>"3056-2020/27"</f>
        <v>3056-2020/27</v>
      </c>
      <c r="B2967" s="1" t="str">
        <f t="shared" si="494"/>
        <v>16.06.2020</v>
      </c>
      <c r="C2967" s="1" t="str">
        <f t="shared" si="493"/>
        <v>Закрито</v>
      </c>
      <c r="D296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67" s="1" t="str">
        <f>"Земельні питання"</f>
        <v>Земельні питання</v>
      </c>
      <c r="F29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7" s="1" t="str">
        <f>"1"</f>
        <v>1</v>
      </c>
      <c r="H2967" s="1" t="str">
        <f>"Результат"</f>
        <v>Результат</v>
      </c>
      <c r="I2967" s="1" t="str">
        <f>"Позитивний"</f>
        <v>Позитивний</v>
      </c>
      <c r="J2967" s="1" t="str">
        <f>"Так"</f>
        <v>Так</v>
      </c>
    </row>
    <row r="2968" spans="1:10" ht="135" x14ac:dyDescent="0.25">
      <c r="A2968" s="1" t="str">
        <f>"3080-2020/27"</f>
        <v>3080-2020/27</v>
      </c>
      <c r="B2968" s="1" t="str">
        <f t="shared" ref="B2968:B2993" si="497">"17.06.2020"</f>
        <v>17.06.2020</v>
      </c>
      <c r="C2968" s="1" t="str">
        <f t="shared" si="493"/>
        <v>Закрито</v>
      </c>
      <c r="D2968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68" s="1" t="str">
        <f>"Земельні питання"</f>
        <v>Земельні питання</v>
      </c>
      <c r="F29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8" s="1" t="str">
        <f>"3"</f>
        <v>3</v>
      </c>
      <c r="H2968" s="1" t="str">
        <f>"Результат"</f>
        <v>Результат</v>
      </c>
      <c r="I2968" s="1" t="str">
        <f>"Позитивний"</f>
        <v>Позитивний</v>
      </c>
      <c r="J2968" s="1" t="str">
        <f t="shared" ref="J2968:J2974" si="498">"Ні"</f>
        <v>Ні</v>
      </c>
    </row>
    <row r="2969" spans="1:10" ht="135" x14ac:dyDescent="0.25">
      <c r="A2969" s="1" t="str">
        <f>"3062-2020/27"</f>
        <v>3062-2020/27</v>
      </c>
      <c r="B2969" s="1" t="str">
        <f t="shared" si="497"/>
        <v>17.06.2020</v>
      </c>
      <c r="C2969" s="1" t="str">
        <f t="shared" si="493"/>
        <v>Закрито</v>
      </c>
      <c r="D29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69" s="1" t="str">
        <f>"Земельні питання"</f>
        <v>Земельні питання</v>
      </c>
      <c r="F29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69" s="1" t="str">
        <f>"3"</f>
        <v>3</v>
      </c>
      <c r="H2969" s="1" t="str">
        <f>"Результат"</f>
        <v>Результат</v>
      </c>
      <c r="I2969" s="1" t="str">
        <f>"Позитивний"</f>
        <v>Позитивний</v>
      </c>
      <c r="J2969" s="1" t="str">
        <f t="shared" si="498"/>
        <v>Ні</v>
      </c>
    </row>
    <row r="2970" spans="1:10" ht="225" x14ac:dyDescent="0.25">
      <c r="A2970" s="1" t="str">
        <f>"3058-2020/27"</f>
        <v>3058-2020/27</v>
      </c>
      <c r="B2970" s="1" t="str">
        <f t="shared" si="497"/>
        <v>17.06.2020</v>
      </c>
      <c r="C2970" s="1" t="str">
        <f>"На обробці в адмін. органі"</f>
        <v>На обробці в адмін. органі</v>
      </c>
      <c r="D2970" s="1" t="s">
        <v>2</v>
      </c>
      <c r="E2970" s="1" t="str">
        <f>"Будівництво"</f>
        <v>Будівництво</v>
      </c>
      <c r="F297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970" s="1" t="str">
        <f>"30"</f>
        <v>30</v>
      </c>
      <c r="H2970" s="1" t="str">
        <f>""</f>
        <v/>
      </c>
      <c r="I2970" s="1" t="str">
        <f>""</f>
        <v/>
      </c>
      <c r="J2970" s="1" t="str">
        <f t="shared" si="498"/>
        <v>Ні</v>
      </c>
    </row>
    <row r="2971" spans="1:10" ht="135" x14ac:dyDescent="0.25">
      <c r="A2971" s="1" t="str">
        <f>"3063-2020/27"</f>
        <v>3063-2020/27</v>
      </c>
      <c r="B2971" s="1" t="str">
        <f t="shared" si="497"/>
        <v>17.06.2020</v>
      </c>
      <c r="C2971" s="1" t="str">
        <f>"Закрито"</f>
        <v>Закрито</v>
      </c>
      <c r="D297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71" s="1" t="str">
        <f>"Земельні питання"</f>
        <v>Земельні питання</v>
      </c>
      <c r="F297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71" s="1" t="str">
        <f>"3"</f>
        <v>3</v>
      </c>
      <c r="H2971" s="1" t="str">
        <f>"Результат"</f>
        <v>Результат</v>
      </c>
      <c r="I2971" s="1" t="str">
        <f>"Позитивний"</f>
        <v>Позитивний</v>
      </c>
      <c r="J2971" s="1" t="str">
        <f t="shared" si="498"/>
        <v>Ні</v>
      </c>
    </row>
    <row r="2972" spans="1:10" ht="225" x14ac:dyDescent="0.25">
      <c r="A2972" s="1" t="str">
        <f>"3059-2020/27"</f>
        <v>3059-2020/27</v>
      </c>
      <c r="B2972" s="1" t="str">
        <f t="shared" si="497"/>
        <v>17.06.2020</v>
      </c>
      <c r="C2972" s="1" t="str">
        <f>"На обробці в адмін. органі"</f>
        <v>На обробці в адмін. органі</v>
      </c>
      <c r="D2972" s="1" t="s">
        <v>2</v>
      </c>
      <c r="E2972" s="1" t="str">
        <f>"Будівництво"</f>
        <v>Будівництво</v>
      </c>
      <c r="F297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2972" s="1" t="str">
        <f>"30"</f>
        <v>30</v>
      </c>
      <c r="H2972" s="1" t="str">
        <f>""</f>
        <v/>
      </c>
      <c r="I2972" s="1" t="str">
        <f>""</f>
        <v/>
      </c>
      <c r="J2972" s="1" t="str">
        <f t="shared" si="498"/>
        <v>Ні</v>
      </c>
    </row>
    <row r="2973" spans="1:10" ht="135" x14ac:dyDescent="0.25">
      <c r="A2973" s="1" t="str">
        <f>"3068-2020/27"</f>
        <v>3068-2020/27</v>
      </c>
      <c r="B2973" s="1" t="str">
        <f t="shared" si="497"/>
        <v>17.06.2020</v>
      </c>
      <c r="C2973" s="1" t="str">
        <f t="shared" ref="C2973:C3023" si="499">"Закрито"</f>
        <v>Закрито</v>
      </c>
      <c r="D2973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73" s="1" t="str">
        <f>"Земельні питання"</f>
        <v>Земельні питання</v>
      </c>
      <c r="F29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73" s="1" t="str">
        <f>"3"</f>
        <v>3</v>
      </c>
      <c r="H2973" s="1" t="str">
        <f>"Результат"</f>
        <v>Результат</v>
      </c>
      <c r="I2973" s="1" t="str">
        <f>"Позитивний"</f>
        <v>Позитивний</v>
      </c>
      <c r="J2973" s="1" t="str">
        <f t="shared" si="498"/>
        <v>Ні</v>
      </c>
    </row>
    <row r="2974" spans="1:10" ht="135" x14ac:dyDescent="0.25">
      <c r="A2974" s="1" t="str">
        <f>"3064-2020/27"</f>
        <v>3064-2020/27</v>
      </c>
      <c r="B2974" s="1" t="str">
        <f t="shared" si="497"/>
        <v>17.06.2020</v>
      </c>
      <c r="C2974" s="1" t="str">
        <f t="shared" si="499"/>
        <v>Закрито</v>
      </c>
      <c r="D2974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2974" s="1" t="str">
        <f>"Земельні питання"</f>
        <v>Земельні питання</v>
      </c>
      <c r="F297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74" s="1" t="str">
        <f>"3"</f>
        <v>3</v>
      </c>
      <c r="H2974" s="1" t="str">
        <f>"Результат"</f>
        <v>Результат</v>
      </c>
      <c r="I2974" s="1" t="str">
        <f>"Позитивний"</f>
        <v>Позитивний</v>
      </c>
      <c r="J2974" s="1" t="str">
        <f t="shared" si="498"/>
        <v>Ні</v>
      </c>
    </row>
    <row r="2975" spans="1:10" ht="45" x14ac:dyDescent="0.25">
      <c r="A2975" s="1" t="str">
        <f>"3072-2020/27"</f>
        <v>3072-2020/27</v>
      </c>
      <c r="B2975" s="1" t="str">
        <f t="shared" si="497"/>
        <v>17.06.2020</v>
      </c>
      <c r="C2975" s="1" t="str">
        <f t="shared" si="499"/>
        <v>Закрито</v>
      </c>
      <c r="D2975" s="1" t="str">
        <f>"Зняття з реєстрації місця проживання"</f>
        <v>Зняття з реєстрації місця проживання</v>
      </c>
      <c r="E2975" s="1" t="str">
        <f>"Реєстрація місця проживання"</f>
        <v>Реєстрація місця проживання</v>
      </c>
      <c r="F2975" s="1" t="str">
        <f>"Відділ реєстрації Новокаховської міської ради"</f>
        <v>Відділ реєстрації Новокаховської міської ради</v>
      </c>
      <c r="G2975" s="1" t="str">
        <f>"1"</f>
        <v>1</v>
      </c>
      <c r="H2975" s="1" t="str">
        <f>"Результат"</f>
        <v>Результат</v>
      </c>
      <c r="I2975" s="1" t="str">
        <f>"Позитивний"</f>
        <v>Позитивний</v>
      </c>
      <c r="J2975" s="1" t="str">
        <f>"Так"</f>
        <v>Так</v>
      </c>
    </row>
    <row r="2976" spans="1:10" ht="135" x14ac:dyDescent="0.25">
      <c r="A2976" s="1" t="str">
        <f>"3077-2020/27"</f>
        <v>3077-2020/27</v>
      </c>
      <c r="B2976" s="1" t="str">
        <f t="shared" si="497"/>
        <v>17.06.2020</v>
      </c>
      <c r="C2976" s="1" t="str">
        <f t="shared" si="499"/>
        <v>Закрито</v>
      </c>
      <c r="D297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76" s="1" t="str">
        <f>"Земельні питання"</f>
        <v>Земельні питання</v>
      </c>
      <c r="F29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76" s="1" t="str">
        <f>"1"</f>
        <v>1</v>
      </c>
      <c r="H2976" s="1" t="str">
        <f>"Результат"</f>
        <v>Результат</v>
      </c>
      <c r="I2976" s="1" t="str">
        <f>"Позитивний"</f>
        <v>Позитивний</v>
      </c>
      <c r="J2976" s="1" t="str">
        <f>"Так"</f>
        <v>Так</v>
      </c>
    </row>
    <row r="2977" spans="1:10" ht="45" x14ac:dyDescent="0.25">
      <c r="A2977" s="1" t="str">
        <f>"3060-2020/27"</f>
        <v>3060-2020/27</v>
      </c>
      <c r="B2977" s="1" t="str">
        <f t="shared" si="497"/>
        <v>17.06.2020</v>
      </c>
      <c r="C2977" s="1" t="str">
        <f t="shared" si="499"/>
        <v>Закрито</v>
      </c>
      <c r="D2977" s="1" t="str">
        <f>"Реєстрація місця проживання особи"</f>
        <v>Реєстрація місця проживання особи</v>
      </c>
      <c r="E2977" s="1" t="str">
        <f>"Реєстрація місця проживання"</f>
        <v>Реєстрація місця проживання</v>
      </c>
      <c r="F2977" s="1" t="str">
        <f>"Відділ реєстрації Новокаховської міської ради"</f>
        <v>Відділ реєстрації Новокаховської міської ради</v>
      </c>
      <c r="G2977" s="1" t="str">
        <f>"1"</f>
        <v>1</v>
      </c>
      <c r="H2977" s="1" t="str">
        <f>"Результат"</f>
        <v>Результат</v>
      </c>
      <c r="I2977" s="1" t="str">
        <f>"Позитивний"</f>
        <v>Позитивний</v>
      </c>
      <c r="J2977" s="1" t="str">
        <f>"Так"</f>
        <v>Так</v>
      </c>
    </row>
    <row r="2978" spans="1:10" ht="90" x14ac:dyDescent="0.25">
      <c r="A2978" s="1" t="str">
        <f>"3069-2020/27"</f>
        <v>3069-2020/27</v>
      </c>
      <c r="B2978" s="1" t="str">
        <f t="shared" si="497"/>
        <v>17.06.2020</v>
      </c>
      <c r="C2978" s="1" t="str">
        <f t="shared" si="499"/>
        <v>Закрито</v>
      </c>
      <c r="D297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78" s="1" t="str">
        <f>"Інші послуги"</f>
        <v>Інші послуги</v>
      </c>
      <c r="F297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78" s="1" t="str">
        <f>"5"</f>
        <v>5</v>
      </c>
      <c r="H2978" s="1" t="str">
        <f>"Результат"</f>
        <v>Результат</v>
      </c>
      <c r="I2978" s="1" t="str">
        <f>"Позитивний"</f>
        <v>Позитивний</v>
      </c>
      <c r="J2978" s="1" t="str">
        <f>"Ні"</f>
        <v>Ні</v>
      </c>
    </row>
    <row r="2979" spans="1:10" ht="45" x14ac:dyDescent="0.25">
      <c r="A2979" s="1" t="str">
        <f>"3071-2020/27"</f>
        <v>3071-2020/27</v>
      </c>
      <c r="B2979" s="1" t="str">
        <f t="shared" si="497"/>
        <v>17.06.2020</v>
      </c>
      <c r="C2979" s="1" t="str">
        <f t="shared" si="499"/>
        <v>Закрито</v>
      </c>
      <c r="D2979" s="1" t="str">
        <f>"Реєстрація місця проживання особи"</f>
        <v>Реєстрація місця проживання особи</v>
      </c>
      <c r="E2979" s="1" t="str">
        <f>"Реєстрація місця проживання"</f>
        <v>Реєстрація місця проживання</v>
      </c>
      <c r="F2979" s="1" t="str">
        <f>"Відділ реєстрації Новокаховської міської ради"</f>
        <v>Відділ реєстрації Новокаховської міської ради</v>
      </c>
      <c r="G2979" s="1" t="str">
        <f>"1"</f>
        <v>1</v>
      </c>
      <c r="H2979" s="1" t="str">
        <f>"Результат"</f>
        <v>Результат</v>
      </c>
      <c r="I2979" s="1" t="str">
        <f>"Позитивний"</f>
        <v>Позитивний</v>
      </c>
      <c r="J2979" s="1" t="str">
        <f>"Так"</f>
        <v>Так</v>
      </c>
    </row>
    <row r="2980" spans="1:10" ht="135" x14ac:dyDescent="0.25">
      <c r="A2980" s="1" t="str">
        <f>"3079-2020/27"</f>
        <v>3079-2020/27</v>
      </c>
      <c r="B2980" s="1" t="str">
        <f t="shared" si="497"/>
        <v>17.06.2020</v>
      </c>
      <c r="C2980" s="1" t="str">
        <f t="shared" si="499"/>
        <v>Закрито</v>
      </c>
      <c r="D298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80" s="1" t="str">
        <f>"Земельні питання"</f>
        <v>Земельні питання</v>
      </c>
      <c r="F29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80" s="1" t="str">
        <f>"1"</f>
        <v>1</v>
      </c>
      <c r="H2980" s="1" t="str">
        <f>"Результат"</f>
        <v>Результат</v>
      </c>
      <c r="I2980" s="1" t="str">
        <f>"Позитивний"</f>
        <v>Позитивний</v>
      </c>
      <c r="J2980" s="1" t="str">
        <f>"Так"</f>
        <v>Так</v>
      </c>
    </row>
    <row r="2981" spans="1:10" ht="135" x14ac:dyDescent="0.25">
      <c r="A2981" s="1" t="str">
        <f>"3078-2020/27"</f>
        <v>3078-2020/27</v>
      </c>
      <c r="B2981" s="1" t="str">
        <f t="shared" si="497"/>
        <v>17.06.2020</v>
      </c>
      <c r="C2981" s="1" t="str">
        <f t="shared" si="499"/>
        <v>Закрито</v>
      </c>
      <c r="D298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81" s="1" t="str">
        <f>"Земельні питання"</f>
        <v>Земельні питання</v>
      </c>
      <c r="F298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81" s="1" t="str">
        <f>"1"</f>
        <v>1</v>
      </c>
      <c r="H2981" s="1" t="str">
        <f>"Результат"</f>
        <v>Результат</v>
      </c>
      <c r="I2981" s="1" t="str">
        <f>"Позитивний"</f>
        <v>Позитивний</v>
      </c>
      <c r="J2981" s="1" t="str">
        <f>"Так"</f>
        <v>Так</v>
      </c>
    </row>
    <row r="2982" spans="1:10" ht="90" x14ac:dyDescent="0.25">
      <c r="A2982" s="1" t="str">
        <f>"3075-2020/27"</f>
        <v>3075-2020/27</v>
      </c>
      <c r="B2982" s="1" t="str">
        <f t="shared" si="497"/>
        <v>17.06.2020</v>
      </c>
      <c r="C2982" s="1" t="str">
        <f t="shared" si="499"/>
        <v>Закрито</v>
      </c>
      <c r="D298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82" s="1" t="str">
        <f>"Інші послуги"</f>
        <v>Інші послуги</v>
      </c>
      <c r="F298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82" s="1" t="str">
        <f>"5"</f>
        <v>5</v>
      </c>
      <c r="H2982" s="1" t="str">
        <f>"Результат"</f>
        <v>Результат</v>
      </c>
      <c r="I2982" s="1" t="str">
        <f>"Позитивний"</f>
        <v>Позитивний</v>
      </c>
      <c r="J2982" s="1" t="str">
        <f>"Ні"</f>
        <v>Ні</v>
      </c>
    </row>
    <row r="2983" spans="1:10" ht="90" x14ac:dyDescent="0.25">
      <c r="A2983" s="1" t="str">
        <f>"3074-2020/27"</f>
        <v>3074-2020/27</v>
      </c>
      <c r="B2983" s="1" t="str">
        <f t="shared" si="497"/>
        <v>17.06.2020</v>
      </c>
      <c r="C2983" s="1" t="str">
        <f t="shared" si="499"/>
        <v>Закрито</v>
      </c>
      <c r="D298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83" s="1" t="str">
        <f>"Інші послуги"</f>
        <v>Інші послуги</v>
      </c>
      <c r="F298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83" s="1" t="str">
        <f>"5"</f>
        <v>5</v>
      </c>
      <c r="H2983" s="1" t="str">
        <f>"Результат"</f>
        <v>Результат</v>
      </c>
      <c r="I2983" s="1" t="str">
        <f>"Позитивний"</f>
        <v>Позитивний</v>
      </c>
      <c r="J2983" s="1" t="str">
        <f>"Ні"</f>
        <v>Ні</v>
      </c>
    </row>
    <row r="2984" spans="1:10" ht="135" x14ac:dyDescent="0.25">
      <c r="A2984" s="1" t="str">
        <f>"3081-2020/27"</f>
        <v>3081-2020/27</v>
      </c>
      <c r="B2984" s="1" t="str">
        <f t="shared" si="497"/>
        <v>17.06.2020</v>
      </c>
      <c r="C2984" s="1" t="str">
        <f t="shared" si="499"/>
        <v>Закрито</v>
      </c>
      <c r="D298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84" s="1" t="str">
        <f>"Земельні питання"</f>
        <v>Земельні питання</v>
      </c>
      <c r="F29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84" s="1" t="str">
        <f>"1"</f>
        <v>1</v>
      </c>
      <c r="H2984" s="1" t="str">
        <f>"Результат"</f>
        <v>Результат</v>
      </c>
      <c r="I2984" s="1" t="str">
        <f>"Позитивний"</f>
        <v>Позитивний</v>
      </c>
      <c r="J2984" s="1" t="str">
        <f>"Так"</f>
        <v>Так</v>
      </c>
    </row>
    <row r="2985" spans="1:10" ht="45" x14ac:dyDescent="0.25">
      <c r="A2985" s="1" t="str">
        <f>"3067-2020/27"</f>
        <v>3067-2020/27</v>
      </c>
      <c r="B2985" s="1" t="str">
        <f t="shared" si="497"/>
        <v>17.06.2020</v>
      </c>
      <c r="C2985" s="1" t="str">
        <f t="shared" si="499"/>
        <v>Закрито</v>
      </c>
      <c r="D2985" s="1" t="str">
        <f>"Реєстрація місця проживання особи"</f>
        <v>Реєстрація місця проживання особи</v>
      </c>
      <c r="E2985" s="1" t="str">
        <f>"Реєстрація місця проживання"</f>
        <v>Реєстрація місця проживання</v>
      </c>
      <c r="F2985" s="1" t="str">
        <f>"Відділ реєстрації Новокаховської міської ради"</f>
        <v>Відділ реєстрації Новокаховської міської ради</v>
      </c>
      <c r="G2985" s="1" t="str">
        <f>"1"</f>
        <v>1</v>
      </c>
      <c r="H2985" s="1" t="str">
        <f>"Результат"</f>
        <v>Результат</v>
      </c>
      <c r="I2985" s="1" t="str">
        <f>"Позитивний"</f>
        <v>Позитивний</v>
      </c>
      <c r="J2985" s="1" t="str">
        <f>"Так"</f>
        <v>Так</v>
      </c>
    </row>
    <row r="2986" spans="1:10" ht="90" x14ac:dyDescent="0.25">
      <c r="A2986" s="1" t="str">
        <f>"3070-2020/27"</f>
        <v>3070-2020/27</v>
      </c>
      <c r="B2986" s="1" t="str">
        <f t="shared" si="497"/>
        <v>17.06.2020</v>
      </c>
      <c r="C2986" s="1" t="str">
        <f t="shared" si="499"/>
        <v>Закрито</v>
      </c>
      <c r="D298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86" s="1" t="str">
        <f>"Інші послуги"</f>
        <v>Інші послуги</v>
      </c>
      <c r="F298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86" s="1" t="str">
        <f>"5"</f>
        <v>5</v>
      </c>
      <c r="H2986" s="1" t="str">
        <f>"Результат"</f>
        <v>Результат</v>
      </c>
      <c r="I2986" s="1" t="str">
        <f>"Позитивний"</f>
        <v>Позитивний</v>
      </c>
      <c r="J2986" s="1" t="str">
        <f>"Ні"</f>
        <v>Ні</v>
      </c>
    </row>
    <row r="2987" spans="1:10" ht="135" x14ac:dyDescent="0.25">
      <c r="A2987" s="1" t="str">
        <f>"3066-2020/27"</f>
        <v>3066-2020/27</v>
      </c>
      <c r="B2987" s="1" t="str">
        <f t="shared" si="497"/>
        <v>17.06.2020</v>
      </c>
      <c r="C2987" s="1" t="str">
        <f t="shared" si="499"/>
        <v>Закрито</v>
      </c>
      <c r="D29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87" s="1" t="str">
        <f>"Земельні питання"</f>
        <v>Земельні питання</v>
      </c>
      <c r="F29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87" s="1" t="str">
        <f>"1"</f>
        <v>1</v>
      </c>
      <c r="H2987" s="1" t="str">
        <f>"Результат"</f>
        <v>Результат</v>
      </c>
      <c r="I2987" s="1" t="str">
        <f>"Позитивний"</f>
        <v>Позитивний</v>
      </c>
      <c r="J2987" s="1" t="str">
        <f>"Так"</f>
        <v>Так</v>
      </c>
    </row>
    <row r="2988" spans="1:10" ht="45" x14ac:dyDescent="0.25">
      <c r="A2988" s="1" t="str">
        <f>"3073-2020/27"</f>
        <v>3073-2020/27</v>
      </c>
      <c r="B2988" s="1" t="str">
        <f t="shared" si="497"/>
        <v>17.06.2020</v>
      </c>
      <c r="C2988" s="1" t="str">
        <f t="shared" si="499"/>
        <v>Закрито</v>
      </c>
      <c r="D2988" s="1" t="str">
        <f>"Зняття з реєстрації місця проживання"</f>
        <v>Зняття з реєстрації місця проживання</v>
      </c>
      <c r="E2988" s="1" t="str">
        <f>"Реєстрація місця проживання"</f>
        <v>Реєстрація місця проживання</v>
      </c>
      <c r="F2988" s="1" t="str">
        <f>"Відділ реєстрації Новокаховської міської ради"</f>
        <v>Відділ реєстрації Новокаховської міської ради</v>
      </c>
      <c r="G2988" s="1" t="str">
        <f>"1"</f>
        <v>1</v>
      </c>
      <c r="H2988" s="1" t="str">
        <f>"Результат"</f>
        <v>Результат</v>
      </c>
      <c r="I2988" s="1" t="str">
        <f>"Позитивний"</f>
        <v>Позитивний</v>
      </c>
      <c r="J2988" s="1" t="str">
        <f>"Так"</f>
        <v>Так</v>
      </c>
    </row>
    <row r="2989" spans="1:10" ht="135" x14ac:dyDescent="0.25">
      <c r="A2989" s="1" t="str">
        <f>"3065-2020/27"</f>
        <v>3065-2020/27</v>
      </c>
      <c r="B2989" s="1" t="str">
        <f t="shared" si="497"/>
        <v>17.06.2020</v>
      </c>
      <c r="C2989" s="1" t="str">
        <f t="shared" si="499"/>
        <v>Закрито</v>
      </c>
      <c r="D298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89" s="1" t="str">
        <f>"Земельні питання"</f>
        <v>Земельні питання</v>
      </c>
      <c r="F298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89" s="1" t="str">
        <f>"1"</f>
        <v>1</v>
      </c>
      <c r="H2989" s="1" t="str">
        <f>"Результат"</f>
        <v>Результат</v>
      </c>
      <c r="I2989" s="1" t="str">
        <f>"Позитивний"</f>
        <v>Позитивний</v>
      </c>
      <c r="J2989" s="1" t="str">
        <f>"Так"</f>
        <v>Так</v>
      </c>
    </row>
    <row r="2990" spans="1:10" ht="90" x14ac:dyDescent="0.25">
      <c r="A2990" s="1" t="str">
        <f>"3061-2020/27"</f>
        <v>3061-2020/27</v>
      </c>
      <c r="B2990" s="1" t="str">
        <f t="shared" si="497"/>
        <v>17.06.2020</v>
      </c>
      <c r="C2990" s="1" t="str">
        <f t="shared" si="499"/>
        <v>Закрито</v>
      </c>
      <c r="D299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90" s="1" t="str">
        <f>"Інші послуги"</f>
        <v>Інші послуги</v>
      </c>
      <c r="F299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90" s="1" t="str">
        <f>"5"</f>
        <v>5</v>
      </c>
      <c r="H2990" s="1" t="str">
        <f>"Результат"</f>
        <v>Результат</v>
      </c>
      <c r="I2990" s="1" t="str">
        <f>"Позитивний"</f>
        <v>Позитивний</v>
      </c>
      <c r="J2990" s="1" t="str">
        <f>"Ні"</f>
        <v>Ні</v>
      </c>
    </row>
    <row r="2991" spans="1:10" ht="45" x14ac:dyDescent="0.25">
      <c r="A2991" s="1" t="str">
        <f>"3057-2020/27"</f>
        <v>3057-2020/27</v>
      </c>
      <c r="B2991" s="1" t="str">
        <f t="shared" si="497"/>
        <v>17.06.2020</v>
      </c>
      <c r="C2991" s="1" t="str">
        <f t="shared" si="499"/>
        <v>Закрито</v>
      </c>
      <c r="D2991" s="1" t="str">
        <f>"Реєстрація місця проживання особи"</f>
        <v>Реєстрація місця проживання особи</v>
      </c>
      <c r="E2991" s="1" t="str">
        <f>"Реєстрація місця проживання"</f>
        <v>Реєстрація місця проживання</v>
      </c>
      <c r="F2991" s="1" t="str">
        <f>"Відділ реєстрації Новокаховської міської ради"</f>
        <v>Відділ реєстрації Новокаховської міської ради</v>
      </c>
      <c r="G2991" s="1" t="str">
        <f>"1"</f>
        <v>1</v>
      </c>
      <c r="H2991" s="1" t="str">
        <f>"Результат"</f>
        <v>Результат</v>
      </c>
      <c r="I2991" s="1" t="str">
        <f>"Позитивний"</f>
        <v>Позитивний</v>
      </c>
      <c r="J2991" s="1" t="str">
        <f>"Так"</f>
        <v>Так</v>
      </c>
    </row>
    <row r="2992" spans="1:10" ht="135" x14ac:dyDescent="0.25">
      <c r="A2992" s="1" t="str">
        <f>"3082-2020/27"</f>
        <v>3082-2020/27</v>
      </c>
      <c r="B2992" s="1" t="str">
        <f t="shared" si="497"/>
        <v>17.06.2020</v>
      </c>
      <c r="C2992" s="1" t="str">
        <f t="shared" si="499"/>
        <v>Закрито</v>
      </c>
      <c r="D299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92" s="1" t="str">
        <f>"Земельні питання"</f>
        <v>Земельні питання</v>
      </c>
      <c r="F29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92" s="1" t="str">
        <f>"14"</f>
        <v>14</v>
      </c>
      <c r="H2992" s="1" t="str">
        <f>"Результат"</f>
        <v>Результат</v>
      </c>
      <c r="I2992" s="1" t="str">
        <f>"Позитивний"</f>
        <v>Позитивний</v>
      </c>
      <c r="J2992" s="1" t="str">
        <f>"Ні"</f>
        <v>Ні</v>
      </c>
    </row>
    <row r="2993" spans="1:10" ht="135" x14ac:dyDescent="0.25">
      <c r="A2993" s="1" t="str">
        <f>"3076-2020/27"</f>
        <v>3076-2020/27</v>
      </c>
      <c r="B2993" s="1" t="str">
        <f t="shared" si="497"/>
        <v>17.06.2020</v>
      </c>
      <c r="C2993" s="1" t="str">
        <f t="shared" si="499"/>
        <v>Закрито</v>
      </c>
      <c r="D299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2993" s="1" t="str">
        <f>"Земельні питання"</f>
        <v>Земельні питання</v>
      </c>
      <c r="F299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93" s="1" t="str">
        <f>"1"</f>
        <v>1</v>
      </c>
      <c r="H2993" s="1" t="str">
        <f>"Результат"</f>
        <v>Результат</v>
      </c>
      <c r="I2993" s="1" t="str">
        <f>"Позитивний"</f>
        <v>Позитивний</v>
      </c>
      <c r="J2993" s="1" t="str">
        <f>"Так"</f>
        <v>Так</v>
      </c>
    </row>
    <row r="2994" spans="1:10" ht="90" x14ac:dyDescent="0.25">
      <c r="A2994" s="1" t="str">
        <f>"3083-2020/27"</f>
        <v>3083-2020/27</v>
      </c>
      <c r="B2994" s="1" t="str">
        <f t="shared" ref="B2994:B3026" si="500">"18.06.2020"</f>
        <v>18.06.2020</v>
      </c>
      <c r="C2994" s="1" t="str">
        <f t="shared" si="499"/>
        <v>Закрито</v>
      </c>
      <c r="D299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94" s="1" t="str">
        <f>"Інші послуги"</f>
        <v>Інші послуги</v>
      </c>
      <c r="F299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94" s="1" t="str">
        <f>"5"</f>
        <v>5</v>
      </c>
      <c r="H2994" s="1" t="str">
        <f>"Результат"</f>
        <v>Результат</v>
      </c>
      <c r="I2994" s="1" t="str">
        <f>"Позитивний"</f>
        <v>Позитивний</v>
      </c>
      <c r="J2994" s="1" t="str">
        <f>"Ні"</f>
        <v>Ні</v>
      </c>
    </row>
    <row r="2995" spans="1:10" ht="90" x14ac:dyDescent="0.25">
      <c r="A2995" s="1" t="str">
        <f>"3113-2020/27"</f>
        <v>3113-2020/27</v>
      </c>
      <c r="B2995" s="1" t="str">
        <f t="shared" si="500"/>
        <v>18.06.2020</v>
      </c>
      <c r="C2995" s="1" t="str">
        <f t="shared" si="499"/>
        <v>Закрито</v>
      </c>
      <c r="D299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2995" s="1" t="str">
        <f>"Інші послуги"</f>
        <v>Інші послуги</v>
      </c>
      <c r="F299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2995" s="1" t="str">
        <f>"5"</f>
        <v>5</v>
      </c>
      <c r="H2995" s="1" t="str">
        <f>"Результат"</f>
        <v>Результат</v>
      </c>
      <c r="I2995" s="1" t="str">
        <f>"Позитивний"</f>
        <v>Позитивний</v>
      </c>
      <c r="J2995" s="1" t="str">
        <f>"Ні"</f>
        <v>Ні</v>
      </c>
    </row>
    <row r="2996" spans="1:10" ht="135" x14ac:dyDescent="0.25">
      <c r="A2996" s="1" t="str">
        <f>"3115-2020/27"</f>
        <v>3115-2020/27</v>
      </c>
      <c r="B2996" s="1" t="str">
        <f t="shared" si="500"/>
        <v>18.06.2020</v>
      </c>
      <c r="C2996" s="1" t="str">
        <f t="shared" si="499"/>
        <v>Закрито</v>
      </c>
      <c r="D299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2996" s="1" t="str">
        <f>"Земельні питання"</f>
        <v>Земельні питання</v>
      </c>
      <c r="F299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2996" s="1" t="str">
        <f>"14"</f>
        <v>14</v>
      </c>
      <c r="H2996" s="1" t="str">
        <f>"Результат"</f>
        <v>Результат</v>
      </c>
      <c r="I2996" s="1" t="str">
        <f>"Позитивний"</f>
        <v>Позитивний</v>
      </c>
      <c r="J2996" s="1" t="str">
        <f>"Ні"</f>
        <v>Ні</v>
      </c>
    </row>
    <row r="2997" spans="1:10" ht="45" x14ac:dyDescent="0.25">
      <c r="A2997" s="1" t="str">
        <f>"3091-2020/27"</f>
        <v>3091-2020/27</v>
      </c>
      <c r="B2997" s="1" t="str">
        <f t="shared" si="500"/>
        <v>18.06.2020</v>
      </c>
      <c r="C2997" s="1" t="str">
        <f t="shared" si="499"/>
        <v>Закрито</v>
      </c>
      <c r="D2997" s="1" t="str">
        <f>"Реєстрація місця проживання особи"</f>
        <v>Реєстрація місця проживання особи</v>
      </c>
      <c r="E2997" s="1" t="str">
        <f>"Реєстрація місця проживання"</f>
        <v>Реєстрація місця проживання</v>
      </c>
      <c r="F2997" s="1" t="str">
        <f>"Відділ реєстрації Новокаховської міської ради"</f>
        <v>Відділ реєстрації Новокаховської міської ради</v>
      </c>
      <c r="G2997" s="1" t="str">
        <f>"1"</f>
        <v>1</v>
      </c>
      <c r="H2997" s="1" t="str">
        <f>"Результат"</f>
        <v>Результат</v>
      </c>
      <c r="I2997" s="1" t="str">
        <f>"Позитивний"</f>
        <v>Позитивний</v>
      </c>
      <c r="J2997" s="1" t="str">
        <f>"Так"</f>
        <v>Так</v>
      </c>
    </row>
    <row r="2998" spans="1:10" ht="45" x14ac:dyDescent="0.25">
      <c r="A2998" s="1" t="str">
        <f>"3093-2020/27"</f>
        <v>3093-2020/27</v>
      </c>
      <c r="B2998" s="1" t="str">
        <f t="shared" si="500"/>
        <v>18.06.2020</v>
      </c>
      <c r="C2998" s="1" t="str">
        <f t="shared" si="499"/>
        <v>Закрито</v>
      </c>
      <c r="D2998" s="1" t="str">
        <f>"Реєстрація місця проживання особи"</f>
        <v>Реєстрація місця проживання особи</v>
      </c>
      <c r="E2998" s="1" t="str">
        <f>"Реєстрація місця проживання"</f>
        <v>Реєстрація місця проживання</v>
      </c>
      <c r="F2998" s="1" t="str">
        <f>"Відділ реєстрації Новокаховської міської ради"</f>
        <v>Відділ реєстрації Новокаховської міської ради</v>
      </c>
      <c r="G2998" s="1" t="str">
        <f>"1"</f>
        <v>1</v>
      </c>
      <c r="H2998" s="1" t="str">
        <f>"Результат"</f>
        <v>Результат</v>
      </c>
      <c r="I2998" s="1" t="str">
        <f>"Позитивний"</f>
        <v>Позитивний</v>
      </c>
      <c r="J2998" s="1" t="str">
        <f>"Так"</f>
        <v>Так</v>
      </c>
    </row>
    <row r="2999" spans="1:10" ht="45" x14ac:dyDescent="0.25">
      <c r="A2999" s="1" t="str">
        <f>"3095-2020/27"</f>
        <v>3095-2020/27</v>
      </c>
      <c r="B2999" s="1" t="str">
        <f t="shared" si="500"/>
        <v>18.06.2020</v>
      </c>
      <c r="C2999" s="1" t="str">
        <f t="shared" si="499"/>
        <v>Закрито</v>
      </c>
      <c r="D2999" s="1" t="str">
        <f>"Реєстрація місця проживання особи"</f>
        <v>Реєстрація місця проживання особи</v>
      </c>
      <c r="E2999" s="1" t="str">
        <f>"Реєстрація місця проживання"</f>
        <v>Реєстрація місця проживання</v>
      </c>
      <c r="F2999" s="1" t="str">
        <f>"Відділ реєстрації Новокаховської міської ради"</f>
        <v>Відділ реєстрації Новокаховської міської ради</v>
      </c>
      <c r="G2999" s="1" t="str">
        <f>"1"</f>
        <v>1</v>
      </c>
      <c r="H2999" s="1" t="str">
        <f>"Результат"</f>
        <v>Результат</v>
      </c>
      <c r="I2999" s="1" t="str">
        <f>"Позитивний"</f>
        <v>Позитивний</v>
      </c>
      <c r="J2999" s="1" t="str">
        <f>"Так"</f>
        <v>Так</v>
      </c>
    </row>
    <row r="3000" spans="1:10" ht="135" x14ac:dyDescent="0.25">
      <c r="A3000" s="1" t="str">
        <f>"3086-2020/27"</f>
        <v>3086-2020/27</v>
      </c>
      <c r="B3000" s="1" t="str">
        <f t="shared" si="500"/>
        <v>18.06.2020</v>
      </c>
      <c r="C3000" s="1" t="str">
        <f t="shared" si="499"/>
        <v>Закрито</v>
      </c>
      <c r="D300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00" s="1" t="str">
        <f>"Земельні питання"</f>
        <v>Земельні питання</v>
      </c>
      <c r="F300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00" s="1" t="str">
        <f>"1"</f>
        <v>1</v>
      </c>
      <c r="H3000" s="1" t="str">
        <f>"Результат"</f>
        <v>Результат</v>
      </c>
      <c r="I3000" s="1" t="str">
        <f>"Позитивний"</f>
        <v>Позитивний</v>
      </c>
      <c r="J3000" s="1" t="str">
        <f>"Так"</f>
        <v>Так</v>
      </c>
    </row>
    <row r="3001" spans="1:10" ht="45" x14ac:dyDescent="0.25">
      <c r="A3001" s="1" t="str">
        <f>"3088-2020/27"</f>
        <v>3088-2020/27</v>
      </c>
      <c r="B3001" s="1" t="str">
        <f t="shared" si="500"/>
        <v>18.06.2020</v>
      </c>
      <c r="C3001" s="1" t="str">
        <f t="shared" si="499"/>
        <v>Закрито</v>
      </c>
      <c r="D3001" s="1" t="str">
        <f>"Реєстрація місця проживання особи"</f>
        <v>Реєстрація місця проживання особи</v>
      </c>
      <c r="E3001" s="1" t="str">
        <f>"Реєстрація місця проживання"</f>
        <v>Реєстрація місця проживання</v>
      </c>
      <c r="F3001" s="1" t="str">
        <f>"Відділ реєстрації Новокаховської міської ради"</f>
        <v>Відділ реєстрації Новокаховської міської ради</v>
      </c>
      <c r="G3001" s="1" t="str">
        <f>"1"</f>
        <v>1</v>
      </c>
      <c r="H3001" s="1" t="str">
        <f>"Результат"</f>
        <v>Результат</v>
      </c>
      <c r="I3001" s="1" t="str">
        <f>"Позитивний"</f>
        <v>Позитивний</v>
      </c>
      <c r="J3001" s="1" t="str">
        <f>"Так"</f>
        <v>Так</v>
      </c>
    </row>
    <row r="3002" spans="1:10" ht="135" x14ac:dyDescent="0.25">
      <c r="A3002" s="1" t="str">
        <f>"3085-2020/27"</f>
        <v>3085-2020/27</v>
      </c>
      <c r="B3002" s="1" t="str">
        <f t="shared" si="500"/>
        <v>18.06.2020</v>
      </c>
      <c r="C3002" s="1" t="str">
        <f t="shared" si="499"/>
        <v>Закрито</v>
      </c>
      <c r="D300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02" s="1" t="str">
        <f>"Земельні питання"</f>
        <v>Земельні питання</v>
      </c>
      <c r="F30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02" s="1" t="str">
        <f>"3"</f>
        <v>3</v>
      </c>
      <c r="H3002" s="1" t="str">
        <f>"Результат"</f>
        <v>Результат</v>
      </c>
      <c r="I3002" s="1" t="str">
        <f>"Позитивний"</f>
        <v>Позитивний</v>
      </c>
      <c r="J3002" s="1" t="str">
        <f>"Ні"</f>
        <v>Ні</v>
      </c>
    </row>
    <row r="3003" spans="1:10" ht="45" x14ac:dyDescent="0.25">
      <c r="A3003" s="1" t="str">
        <f>"3100-2020/27"</f>
        <v>3100-2020/27</v>
      </c>
      <c r="B3003" s="1" t="str">
        <f t="shared" si="500"/>
        <v>18.06.2020</v>
      </c>
      <c r="C3003" s="1" t="str">
        <f t="shared" si="499"/>
        <v>Закрито</v>
      </c>
      <c r="D3003" s="1" t="str">
        <f>"Реєстрація місця проживання особи"</f>
        <v>Реєстрація місця проживання особи</v>
      </c>
      <c r="E3003" s="1" t="str">
        <f>"Реєстрація місця проживання"</f>
        <v>Реєстрація місця проживання</v>
      </c>
      <c r="F3003" s="1" t="str">
        <f>"Відділ реєстрації Новокаховської міської ради"</f>
        <v>Відділ реєстрації Новокаховської міської ради</v>
      </c>
      <c r="G3003" s="1" t="str">
        <f>"1"</f>
        <v>1</v>
      </c>
      <c r="H3003" s="1" t="str">
        <f>"Результат"</f>
        <v>Результат</v>
      </c>
      <c r="I3003" s="1" t="str">
        <f>"Позитивний"</f>
        <v>Позитивний</v>
      </c>
      <c r="J3003" s="1" t="str">
        <f>"Так"</f>
        <v>Так</v>
      </c>
    </row>
    <row r="3004" spans="1:10" ht="45" x14ac:dyDescent="0.25">
      <c r="A3004" s="1" t="str">
        <f>"3102-2020/27"</f>
        <v>3102-2020/27</v>
      </c>
      <c r="B3004" s="1" t="str">
        <f t="shared" si="500"/>
        <v>18.06.2020</v>
      </c>
      <c r="C3004" s="1" t="str">
        <f t="shared" si="499"/>
        <v>Закрито</v>
      </c>
      <c r="D3004" s="1" t="str">
        <f>"Зняття з реєстрації місця проживання"</f>
        <v>Зняття з реєстрації місця проживання</v>
      </c>
      <c r="E3004" s="1" t="str">
        <f>"Реєстрація місця проживання"</f>
        <v>Реєстрація місця проживання</v>
      </c>
      <c r="F3004" s="1" t="str">
        <f>"Відділ реєстрації Новокаховської міської ради"</f>
        <v>Відділ реєстрації Новокаховської міської ради</v>
      </c>
      <c r="G3004" s="1" t="str">
        <f>"1"</f>
        <v>1</v>
      </c>
      <c r="H3004" s="1" t="str">
        <f>"Результат"</f>
        <v>Результат</v>
      </c>
      <c r="I3004" s="1" t="str">
        <f>"Позитивний"</f>
        <v>Позитивний</v>
      </c>
      <c r="J3004" s="1" t="str">
        <f>"Так"</f>
        <v>Так</v>
      </c>
    </row>
    <row r="3005" spans="1:10" ht="120" x14ac:dyDescent="0.25">
      <c r="A3005" s="1" t="str">
        <f>"3109-2020/27"</f>
        <v>3109-2020/27</v>
      </c>
      <c r="B3005" s="1" t="str">
        <f t="shared" si="500"/>
        <v>18.06.2020</v>
      </c>
      <c r="C3005" s="1" t="str">
        <f t="shared" si="499"/>
        <v>Закрито</v>
      </c>
      <c r="D3005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005" s="1" t="str">
        <f>"Будівництво"</f>
        <v>Будівництво</v>
      </c>
      <c r="F3005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005" s="1" t="str">
        <f>"10"</f>
        <v>10</v>
      </c>
      <c r="H3005" s="1" t="str">
        <f>"Результат"</f>
        <v>Результат</v>
      </c>
      <c r="I3005" s="1" t="str">
        <f>"Позитивний"</f>
        <v>Позитивний</v>
      </c>
      <c r="J3005" s="1" t="str">
        <f t="shared" ref="J3005:J3010" si="501">"Ні"</f>
        <v>Ні</v>
      </c>
    </row>
    <row r="3006" spans="1:10" ht="120" x14ac:dyDescent="0.25">
      <c r="A3006" s="1" t="str">
        <f>"3106-2020/27"</f>
        <v>3106-2020/27</v>
      </c>
      <c r="B3006" s="1" t="str">
        <f t="shared" si="500"/>
        <v>18.06.2020</v>
      </c>
      <c r="C3006" s="1" t="str">
        <f t="shared" si="499"/>
        <v>Закрито</v>
      </c>
      <c r="D3006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006" s="1" t="str">
        <f>"Будівництво"</f>
        <v>Будівництво</v>
      </c>
      <c r="F300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006" s="1" t="str">
        <f>"10"</f>
        <v>10</v>
      </c>
      <c r="H3006" s="1" t="str">
        <f>"Результат"</f>
        <v>Результат</v>
      </c>
      <c r="I3006" s="1" t="str">
        <f>"Позитивний"</f>
        <v>Позитивний</v>
      </c>
      <c r="J3006" s="1" t="str">
        <f t="shared" si="501"/>
        <v>Ні</v>
      </c>
    </row>
    <row r="3007" spans="1:10" ht="90" x14ac:dyDescent="0.25">
      <c r="A3007" s="1" t="str">
        <f>"3092-2020/27"</f>
        <v>3092-2020/27</v>
      </c>
      <c r="B3007" s="1" t="str">
        <f t="shared" si="500"/>
        <v>18.06.2020</v>
      </c>
      <c r="C3007" s="1" t="str">
        <f t="shared" si="499"/>
        <v>Закрито</v>
      </c>
      <c r="D300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07" s="1" t="str">
        <f>"Інші послуги"</f>
        <v>Інші послуги</v>
      </c>
      <c r="F300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07" s="1" t="str">
        <f>"5"</f>
        <v>5</v>
      </c>
      <c r="H3007" s="1" t="str">
        <f>"Результат"</f>
        <v>Результат</v>
      </c>
      <c r="I3007" s="1" t="str">
        <f>"Позитивний"</f>
        <v>Позитивний</v>
      </c>
      <c r="J3007" s="1" t="str">
        <f t="shared" si="501"/>
        <v>Ні</v>
      </c>
    </row>
    <row r="3008" spans="1:10" ht="135" x14ac:dyDescent="0.25">
      <c r="A3008" s="1" t="str">
        <f>"3103-2020/27"</f>
        <v>3103-2020/27</v>
      </c>
      <c r="B3008" s="1" t="str">
        <f t="shared" si="500"/>
        <v>18.06.2020</v>
      </c>
      <c r="C3008" s="1" t="str">
        <f t="shared" si="499"/>
        <v>Закрито</v>
      </c>
      <c r="D3008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3008" s="1" t="str">
        <f>"Земельні питання"</f>
        <v>Земельні питання</v>
      </c>
      <c r="F300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08" s="1" t="str">
        <f>"14"</f>
        <v>14</v>
      </c>
      <c r="H3008" s="1" t="str">
        <f>"Результат"</f>
        <v>Результат</v>
      </c>
      <c r="I3008" s="1" t="str">
        <f>"Мотивована відмова"</f>
        <v>Мотивована відмова</v>
      </c>
      <c r="J3008" s="1" t="str">
        <f t="shared" si="501"/>
        <v>Ні</v>
      </c>
    </row>
    <row r="3009" spans="1:10" ht="135" x14ac:dyDescent="0.25">
      <c r="A3009" s="1" t="str">
        <f>"3111-2020/27"</f>
        <v>3111-2020/27</v>
      </c>
      <c r="B3009" s="1" t="str">
        <f t="shared" si="500"/>
        <v>18.06.2020</v>
      </c>
      <c r="C3009" s="1" t="str">
        <f t="shared" si="499"/>
        <v>Закрито</v>
      </c>
      <c r="D3009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09" s="1" t="str">
        <f>"Земельні питання"</f>
        <v>Земельні питання</v>
      </c>
      <c r="F30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09" s="1" t="str">
        <f>"14"</f>
        <v>14</v>
      </c>
      <c r="H3009" s="1" t="str">
        <f>"Результат"</f>
        <v>Результат</v>
      </c>
      <c r="I3009" s="1" t="str">
        <f>"Позитивний"</f>
        <v>Позитивний</v>
      </c>
      <c r="J3009" s="1" t="str">
        <f t="shared" si="501"/>
        <v>Ні</v>
      </c>
    </row>
    <row r="3010" spans="1:10" ht="135" x14ac:dyDescent="0.25">
      <c r="A3010" s="1" t="str">
        <f>"3104-2020/27"</f>
        <v>3104-2020/27</v>
      </c>
      <c r="B3010" s="1" t="str">
        <f t="shared" si="500"/>
        <v>18.06.2020</v>
      </c>
      <c r="C3010" s="1" t="str">
        <f t="shared" si="499"/>
        <v>Закрито</v>
      </c>
      <c r="D3010" s="1" t="str">
        <f>"Видача довідки з державної статистичної звітності про наявність земель та розподіл їх за власниками земель, землекористувачами, угіддями"</f>
        <v>Видача довідки з державної статистичної звітності про наявність земель та розподіл їх за власниками земель, землекористувачами, угіддями</v>
      </c>
      <c r="E3010" s="1" t="str">
        <f>"Земельні питання"</f>
        <v>Земельні питання</v>
      </c>
      <c r="F301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10" s="1" t="str">
        <f>"14"</f>
        <v>14</v>
      </c>
      <c r="H3010" s="1" t="str">
        <f>"Результат"</f>
        <v>Результат</v>
      </c>
      <c r="I3010" s="1" t="str">
        <f>"Мотивована відмова"</f>
        <v>Мотивована відмова</v>
      </c>
      <c r="J3010" s="1" t="str">
        <f t="shared" si="501"/>
        <v>Ні</v>
      </c>
    </row>
    <row r="3011" spans="1:10" ht="45" x14ac:dyDescent="0.25">
      <c r="A3011" s="1" t="str">
        <f>"3089-2020/27"</f>
        <v>3089-2020/27</v>
      </c>
      <c r="B3011" s="1" t="str">
        <f t="shared" si="500"/>
        <v>18.06.2020</v>
      </c>
      <c r="C3011" s="1" t="str">
        <f t="shared" si="499"/>
        <v>Закрито</v>
      </c>
      <c r="D3011" s="1" t="str">
        <f>"Зняття з реєстрації місця проживання"</f>
        <v>Зняття з реєстрації місця проживання</v>
      </c>
      <c r="E3011" s="1" t="str">
        <f>"Реєстрація місця проживання"</f>
        <v>Реєстрація місця проживання</v>
      </c>
      <c r="F3011" s="1" t="str">
        <f>"Відділ реєстрації Новокаховської міської ради"</f>
        <v>Відділ реєстрації Новокаховської міської ради</v>
      </c>
      <c r="G3011" s="1" t="str">
        <f>"1"</f>
        <v>1</v>
      </c>
      <c r="H3011" s="1" t="str">
        <f>"Результат"</f>
        <v>Результат</v>
      </c>
      <c r="I3011" s="1" t="str">
        <f>"Позитивний"</f>
        <v>Позитивний</v>
      </c>
      <c r="J3011" s="1" t="str">
        <f>"Так"</f>
        <v>Так</v>
      </c>
    </row>
    <row r="3012" spans="1:10" ht="45" x14ac:dyDescent="0.25">
      <c r="A3012" s="1" t="str">
        <f>"3090-2020/27"</f>
        <v>3090-2020/27</v>
      </c>
      <c r="B3012" s="1" t="str">
        <f t="shared" si="500"/>
        <v>18.06.2020</v>
      </c>
      <c r="C3012" s="1" t="str">
        <f t="shared" si="499"/>
        <v>Закрито</v>
      </c>
      <c r="D3012" s="1" t="str">
        <f>"Реєстрація місця проживання особи"</f>
        <v>Реєстрація місця проживання особи</v>
      </c>
      <c r="E3012" s="1" t="str">
        <f>"Реєстрація місця проживання"</f>
        <v>Реєстрація місця проживання</v>
      </c>
      <c r="F3012" s="1" t="str">
        <f>"Відділ реєстрації Новокаховської міської ради"</f>
        <v>Відділ реєстрації Новокаховської міської ради</v>
      </c>
      <c r="G3012" s="1" t="str">
        <f>"1"</f>
        <v>1</v>
      </c>
      <c r="H3012" s="1" t="str">
        <f>"Результат"</f>
        <v>Результат</v>
      </c>
      <c r="I3012" s="1" t="str">
        <f>"Позитивний"</f>
        <v>Позитивний</v>
      </c>
      <c r="J3012" s="1" t="str">
        <f>"Так"</f>
        <v>Так</v>
      </c>
    </row>
    <row r="3013" spans="1:10" ht="45" x14ac:dyDescent="0.25">
      <c r="A3013" s="1" t="str">
        <f>"3097-2020/27"</f>
        <v>3097-2020/27</v>
      </c>
      <c r="B3013" s="1" t="str">
        <f t="shared" si="500"/>
        <v>18.06.2020</v>
      </c>
      <c r="C3013" s="1" t="str">
        <f t="shared" si="499"/>
        <v>Закрито</v>
      </c>
      <c r="D3013" s="1" t="str">
        <f>"Реєстрація місця проживання особи"</f>
        <v>Реєстрація місця проживання особи</v>
      </c>
      <c r="E3013" s="1" t="str">
        <f>"Реєстрація місця проживання"</f>
        <v>Реєстрація місця проживання</v>
      </c>
      <c r="F3013" s="1" t="str">
        <f>"Відділ реєстрації Новокаховської міської ради"</f>
        <v>Відділ реєстрації Новокаховської міської ради</v>
      </c>
      <c r="G3013" s="1" t="str">
        <f>"1"</f>
        <v>1</v>
      </c>
      <c r="H3013" s="1" t="str">
        <f>"Результат"</f>
        <v>Результат</v>
      </c>
      <c r="I3013" s="1" t="str">
        <f>"Позитивний"</f>
        <v>Позитивний</v>
      </c>
      <c r="J3013" s="1" t="str">
        <f>"Так"</f>
        <v>Так</v>
      </c>
    </row>
    <row r="3014" spans="1:10" ht="45" x14ac:dyDescent="0.25">
      <c r="A3014" s="1" t="str">
        <f>"3098-2020/27"</f>
        <v>3098-2020/27</v>
      </c>
      <c r="B3014" s="1" t="str">
        <f t="shared" si="500"/>
        <v>18.06.2020</v>
      </c>
      <c r="C3014" s="1" t="str">
        <f t="shared" si="499"/>
        <v>Закрито</v>
      </c>
      <c r="D3014" s="1" t="str">
        <f>"Реєстрація місця проживання особи"</f>
        <v>Реєстрація місця проживання особи</v>
      </c>
      <c r="E3014" s="1" t="str">
        <f>"Реєстрація місця проживання"</f>
        <v>Реєстрація місця проживання</v>
      </c>
      <c r="F3014" s="1" t="str">
        <f>"Відділ реєстрації Новокаховської міської ради"</f>
        <v>Відділ реєстрації Новокаховської міської ради</v>
      </c>
      <c r="G3014" s="1" t="str">
        <f>"1"</f>
        <v>1</v>
      </c>
      <c r="H3014" s="1" t="str">
        <f>"Результат"</f>
        <v>Результат</v>
      </c>
      <c r="I3014" s="1" t="str">
        <f>"Позитивний"</f>
        <v>Позитивний</v>
      </c>
      <c r="J3014" s="1" t="str">
        <f>"Так"</f>
        <v>Так</v>
      </c>
    </row>
    <row r="3015" spans="1:10" ht="135" x14ac:dyDescent="0.25">
      <c r="A3015" s="1" t="str">
        <f>"3112-2020/27"</f>
        <v>3112-2020/27</v>
      </c>
      <c r="B3015" s="1" t="str">
        <f t="shared" si="500"/>
        <v>18.06.2020</v>
      </c>
      <c r="C3015" s="1" t="str">
        <f t="shared" si="499"/>
        <v>Закрито</v>
      </c>
      <c r="D301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15" s="1" t="str">
        <f>"Земельні питання"</f>
        <v>Земельні питання</v>
      </c>
      <c r="F301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15" s="1" t="str">
        <f>"14"</f>
        <v>14</v>
      </c>
      <c r="H3015" s="1" t="str">
        <f>"Результат"</f>
        <v>Результат</v>
      </c>
      <c r="I3015" s="1" t="str">
        <f>"Позитивний"</f>
        <v>Позитивний</v>
      </c>
      <c r="J3015" s="1" t="str">
        <f>"Ні"</f>
        <v>Ні</v>
      </c>
    </row>
    <row r="3016" spans="1:10" ht="120" x14ac:dyDescent="0.25">
      <c r="A3016" s="1" t="str">
        <f>"3105-2020/27"</f>
        <v>3105-2020/27</v>
      </c>
      <c r="B3016" s="1" t="str">
        <f t="shared" si="500"/>
        <v>18.06.2020</v>
      </c>
      <c r="C3016" s="1" t="str">
        <f t="shared" si="499"/>
        <v>Закрито</v>
      </c>
      <c r="D3016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016" s="1" t="str">
        <f>"Будівництво"</f>
        <v>Будівництво</v>
      </c>
      <c r="F301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016" s="1" t="str">
        <f>"10"</f>
        <v>10</v>
      </c>
      <c r="H3016" s="1" t="str">
        <f>"Результат"</f>
        <v>Результат</v>
      </c>
      <c r="I3016" s="1" t="str">
        <f>"Позитивний"</f>
        <v>Позитивний</v>
      </c>
      <c r="J3016" s="1" t="str">
        <f>"Ні"</f>
        <v>Ні</v>
      </c>
    </row>
    <row r="3017" spans="1:10" ht="45" x14ac:dyDescent="0.25">
      <c r="A3017" s="1" t="str">
        <f>"3094-2020/27"</f>
        <v>3094-2020/27</v>
      </c>
      <c r="B3017" s="1" t="str">
        <f t="shared" si="500"/>
        <v>18.06.2020</v>
      </c>
      <c r="C3017" s="1" t="str">
        <f t="shared" si="499"/>
        <v>Закрито</v>
      </c>
      <c r="D3017" s="1" t="str">
        <f>"Реєстрація місця проживання особи"</f>
        <v>Реєстрація місця проживання особи</v>
      </c>
      <c r="E3017" s="1" t="str">
        <f>"Реєстрація місця проживання"</f>
        <v>Реєстрація місця проживання</v>
      </c>
      <c r="F3017" s="1" t="str">
        <f>"Відділ реєстрації Новокаховської міської ради"</f>
        <v>Відділ реєстрації Новокаховської міської ради</v>
      </c>
      <c r="G3017" s="1" t="str">
        <f>"1"</f>
        <v>1</v>
      </c>
      <c r="H3017" s="1" t="str">
        <f>"Результат"</f>
        <v>Результат</v>
      </c>
      <c r="I3017" s="1" t="str">
        <f>"Позитивний"</f>
        <v>Позитивний</v>
      </c>
      <c r="J3017" s="1" t="str">
        <f>"Так"</f>
        <v>Так</v>
      </c>
    </row>
    <row r="3018" spans="1:10" ht="135" x14ac:dyDescent="0.25">
      <c r="A3018" s="1" t="str">
        <f>"3110-2020/27"</f>
        <v>3110-2020/27</v>
      </c>
      <c r="B3018" s="1" t="str">
        <f t="shared" si="500"/>
        <v>18.06.2020</v>
      </c>
      <c r="C3018" s="1" t="str">
        <f t="shared" si="499"/>
        <v>Закрито</v>
      </c>
      <c r="D301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18" s="1" t="str">
        <f>"Земельні питання"</f>
        <v>Земельні питання</v>
      </c>
      <c r="F301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18" s="1" t="str">
        <f>"1"</f>
        <v>1</v>
      </c>
      <c r="H3018" s="1" t="str">
        <f>"Результат"</f>
        <v>Результат</v>
      </c>
      <c r="I3018" s="1" t="str">
        <f>"Позитивний"</f>
        <v>Позитивний</v>
      </c>
      <c r="J3018" s="1" t="str">
        <f>"Так"</f>
        <v>Так</v>
      </c>
    </row>
    <row r="3019" spans="1:10" ht="45" x14ac:dyDescent="0.25">
      <c r="A3019" s="1" t="str">
        <f>"3087-2020/27"</f>
        <v>3087-2020/27</v>
      </c>
      <c r="B3019" s="1" t="str">
        <f t="shared" si="500"/>
        <v>18.06.2020</v>
      </c>
      <c r="C3019" s="1" t="str">
        <f t="shared" si="499"/>
        <v>Закрито</v>
      </c>
      <c r="D3019" s="1" t="str">
        <f>"Зняття з реєстрації місця проживання"</f>
        <v>Зняття з реєстрації місця проживання</v>
      </c>
      <c r="E3019" s="1" t="str">
        <f>"Реєстрація місця проживання"</f>
        <v>Реєстрація місця проживання</v>
      </c>
      <c r="F3019" s="1" t="str">
        <f>"Відділ реєстрації Новокаховської міської ради"</f>
        <v>Відділ реєстрації Новокаховської міської ради</v>
      </c>
      <c r="G3019" s="1" t="str">
        <f>"1"</f>
        <v>1</v>
      </c>
      <c r="H3019" s="1" t="str">
        <f>"Результат"</f>
        <v>Результат</v>
      </c>
      <c r="I3019" s="1" t="str">
        <f>"Позитивний"</f>
        <v>Позитивний</v>
      </c>
      <c r="J3019" s="1" t="str">
        <f>"Так"</f>
        <v>Так</v>
      </c>
    </row>
    <row r="3020" spans="1:10" ht="90" x14ac:dyDescent="0.25">
      <c r="A3020" s="1" t="str">
        <f>"3101-2020/27"</f>
        <v>3101-2020/27</v>
      </c>
      <c r="B3020" s="1" t="str">
        <f t="shared" si="500"/>
        <v>18.06.2020</v>
      </c>
      <c r="C3020" s="1" t="str">
        <f t="shared" si="499"/>
        <v>Закрито</v>
      </c>
      <c r="D302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20" s="1" t="str">
        <f>"Інші послуги"</f>
        <v>Інші послуги</v>
      </c>
      <c r="F302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20" s="1" t="str">
        <f>"5"</f>
        <v>5</v>
      </c>
      <c r="H3020" s="1" t="str">
        <f>"Результат"</f>
        <v>Результат</v>
      </c>
      <c r="I3020" s="1" t="str">
        <f>"Позитивний"</f>
        <v>Позитивний</v>
      </c>
      <c r="J3020" s="1" t="str">
        <f t="shared" ref="J3020:J3025" si="502">"Ні"</f>
        <v>Ні</v>
      </c>
    </row>
    <row r="3021" spans="1:10" ht="90" x14ac:dyDescent="0.25">
      <c r="A3021" s="1" t="str">
        <f>"3096-2020/27"</f>
        <v>3096-2020/27</v>
      </c>
      <c r="B3021" s="1" t="str">
        <f t="shared" si="500"/>
        <v>18.06.2020</v>
      </c>
      <c r="C3021" s="1" t="str">
        <f t="shared" si="499"/>
        <v>Закрито</v>
      </c>
      <c r="D302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21" s="1" t="str">
        <f>"Інші послуги"</f>
        <v>Інші послуги</v>
      </c>
      <c r="F302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21" s="1" t="str">
        <f>"5"</f>
        <v>5</v>
      </c>
      <c r="H3021" s="1" t="str">
        <f>"Результат"</f>
        <v>Результат</v>
      </c>
      <c r="I3021" s="1" t="str">
        <f>"Позитивний"</f>
        <v>Позитивний</v>
      </c>
      <c r="J3021" s="1" t="str">
        <f t="shared" si="502"/>
        <v>Ні</v>
      </c>
    </row>
    <row r="3022" spans="1:10" ht="120" x14ac:dyDescent="0.25">
      <c r="A3022" s="1" t="str">
        <f>"3108-2020/27"</f>
        <v>3108-2020/27</v>
      </c>
      <c r="B3022" s="1" t="str">
        <f t="shared" si="500"/>
        <v>18.06.2020</v>
      </c>
      <c r="C3022" s="1" t="str">
        <f t="shared" si="499"/>
        <v>Закрито</v>
      </c>
      <c r="D3022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022" s="1" t="str">
        <f>"Будівництво"</f>
        <v>Будівництво</v>
      </c>
      <c r="F3022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022" s="1" t="str">
        <f>"10"</f>
        <v>10</v>
      </c>
      <c r="H3022" s="1" t="str">
        <f>"Результат"</f>
        <v>Результат</v>
      </c>
      <c r="I3022" s="1" t="str">
        <f>"Позитивний"</f>
        <v>Позитивний</v>
      </c>
      <c r="J3022" s="1" t="str">
        <f t="shared" si="502"/>
        <v>Ні</v>
      </c>
    </row>
    <row r="3023" spans="1:10" ht="90" x14ac:dyDescent="0.25">
      <c r="A3023" s="1" t="str">
        <f>"3084-2020/27"</f>
        <v>3084-2020/27</v>
      </c>
      <c r="B3023" s="1" t="str">
        <f t="shared" si="500"/>
        <v>18.06.2020</v>
      </c>
      <c r="C3023" s="1" t="str">
        <f t="shared" si="499"/>
        <v>Закрито</v>
      </c>
      <c r="D302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23" s="1" t="str">
        <f>"Інші послуги"</f>
        <v>Інші послуги</v>
      </c>
      <c r="F302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23" s="1" t="str">
        <f>"5"</f>
        <v>5</v>
      </c>
      <c r="H3023" s="1" t="str">
        <f>"Результат"</f>
        <v>Результат</v>
      </c>
      <c r="I3023" s="1" t="str">
        <f>"Позитивний"</f>
        <v>Позитивний</v>
      </c>
      <c r="J3023" s="1" t="str">
        <f t="shared" si="502"/>
        <v>Ні</v>
      </c>
    </row>
    <row r="3024" spans="1:10" ht="120" x14ac:dyDescent="0.25">
      <c r="A3024" s="1" t="str">
        <f>"3107-2020/27"</f>
        <v>3107-2020/27</v>
      </c>
      <c r="B3024" s="1" t="str">
        <f t="shared" si="500"/>
        <v>18.06.2020</v>
      </c>
      <c r="C3024" s="1" t="str">
        <f>"На обробці в адмін. органі"</f>
        <v>На обробці в адмін. органі</v>
      </c>
      <c r="D3024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024" s="1" t="str">
        <f>"Будівництво"</f>
        <v>Будівництво</v>
      </c>
      <c r="F302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024" s="1" t="str">
        <f>"10"</f>
        <v>10</v>
      </c>
      <c r="H3024" s="1" t="str">
        <f>""</f>
        <v/>
      </c>
      <c r="I3024" s="1" t="str">
        <f>""</f>
        <v/>
      </c>
      <c r="J3024" s="1" t="str">
        <f t="shared" si="502"/>
        <v>Ні</v>
      </c>
    </row>
    <row r="3025" spans="1:10" ht="135" x14ac:dyDescent="0.25">
      <c r="A3025" s="1" t="str">
        <f>"3114-2020/27"</f>
        <v>3114-2020/27</v>
      </c>
      <c r="B3025" s="1" t="str">
        <f t="shared" si="500"/>
        <v>18.06.2020</v>
      </c>
      <c r="C3025" s="1" t="str">
        <f t="shared" ref="C3025:C3035" si="503">"Закрито"</f>
        <v>Закрито</v>
      </c>
      <c r="D302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25" s="1" t="str">
        <f>"Земельні питання"</f>
        <v>Земельні питання</v>
      </c>
      <c r="F30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25" s="1" t="str">
        <f>"14"</f>
        <v>14</v>
      </c>
      <c r="H3025" s="1" t="str">
        <f>"Результат"</f>
        <v>Результат</v>
      </c>
      <c r="I3025" s="1" t="str">
        <f>"Мотивована відмова"</f>
        <v>Мотивована відмова</v>
      </c>
      <c r="J3025" s="1" t="str">
        <f t="shared" si="502"/>
        <v>Ні</v>
      </c>
    </row>
    <row r="3026" spans="1:10" ht="45" x14ac:dyDescent="0.25">
      <c r="A3026" s="1" t="str">
        <f>"3099-2020/27"</f>
        <v>3099-2020/27</v>
      </c>
      <c r="B3026" s="1" t="str">
        <f t="shared" si="500"/>
        <v>18.06.2020</v>
      </c>
      <c r="C3026" s="1" t="str">
        <f t="shared" si="503"/>
        <v>Закрито</v>
      </c>
      <c r="D3026" s="1" t="str">
        <f>"Реєстрація місця проживання особи"</f>
        <v>Реєстрація місця проживання особи</v>
      </c>
      <c r="E3026" s="1" t="str">
        <f>"Реєстрація місця проживання"</f>
        <v>Реєстрація місця проживання</v>
      </c>
      <c r="F3026" s="1" t="str">
        <f>"Відділ реєстрації Новокаховської міської ради"</f>
        <v>Відділ реєстрації Новокаховської міської ради</v>
      </c>
      <c r="G3026" s="1" t="str">
        <f>"1"</f>
        <v>1</v>
      </c>
      <c r="H3026" s="1" t="str">
        <f>"Результат"</f>
        <v>Результат</v>
      </c>
      <c r="I3026" s="1" t="str">
        <f>"Позитивний"</f>
        <v>Позитивний</v>
      </c>
      <c r="J3026" s="1" t="str">
        <f>"Так"</f>
        <v>Так</v>
      </c>
    </row>
    <row r="3027" spans="1:10" ht="90" x14ac:dyDescent="0.25">
      <c r="A3027" s="1" t="str">
        <f>"3123-2020/27"</f>
        <v>3123-2020/27</v>
      </c>
      <c r="B3027" s="1" t="str">
        <f t="shared" ref="B3027:B3042" si="504">"19.06.2020"</f>
        <v>19.06.2020</v>
      </c>
      <c r="C3027" s="1" t="str">
        <f t="shared" si="503"/>
        <v>Закрито</v>
      </c>
      <c r="D302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27" s="1" t="str">
        <f>"Інші послуги"</f>
        <v>Інші послуги</v>
      </c>
      <c r="F302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27" s="1" t="str">
        <f>"5"</f>
        <v>5</v>
      </c>
      <c r="H3027" s="1" t="str">
        <f>"Результат"</f>
        <v>Результат</v>
      </c>
      <c r="I3027" s="1" t="str">
        <f>"Позитивний"</f>
        <v>Позитивний</v>
      </c>
      <c r="J3027" s="1" t="str">
        <f>"Ні"</f>
        <v>Ні</v>
      </c>
    </row>
    <row r="3028" spans="1:10" ht="135" x14ac:dyDescent="0.25">
      <c r="A3028" s="1" t="str">
        <f>"3121-2020/27"</f>
        <v>3121-2020/27</v>
      </c>
      <c r="B3028" s="1" t="str">
        <f t="shared" si="504"/>
        <v>19.06.2020</v>
      </c>
      <c r="C3028" s="1" t="str">
        <f t="shared" si="503"/>
        <v>Закрито</v>
      </c>
      <c r="D302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28" s="1" t="str">
        <f>"Земельні питання"</f>
        <v>Земельні питання</v>
      </c>
      <c r="F302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28" s="1" t="str">
        <f>"1"</f>
        <v>1</v>
      </c>
      <c r="H3028" s="1" t="str">
        <f>"Результат"</f>
        <v>Результат</v>
      </c>
      <c r="I3028" s="1" t="str">
        <f>"Позитивний"</f>
        <v>Позитивний</v>
      </c>
      <c r="J3028" s="1" t="str">
        <f>"Так"</f>
        <v>Так</v>
      </c>
    </row>
    <row r="3029" spans="1:10" ht="45" x14ac:dyDescent="0.25">
      <c r="A3029" s="1" t="str">
        <f>"3118-2020/27"</f>
        <v>3118-2020/27</v>
      </c>
      <c r="B3029" s="1" t="str">
        <f t="shared" si="504"/>
        <v>19.06.2020</v>
      </c>
      <c r="C3029" s="1" t="str">
        <f t="shared" si="503"/>
        <v>Закрито</v>
      </c>
      <c r="D3029" s="1" t="str">
        <f>"Реєстрація місця проживання особи"</f>
        <v>Реєстрація місця проживання особи</v>
      </c>
      <c r="E3029" s="1" t="str">
        <f>"Реєстрація місця проживання"</f>
        <v>Реєстрація місця проживання</v>
      </c>
      <c r="F3029" s="1" t="str">
        <f>"Відділ реєстрації Новокаховської міської ради"</f>
        <v>Відділ реєстрації Новокаховської міської ради</v>
      </c>
      <c r="G3029" s="1" t="str">
        <f>"1"</f>
        <v>1</v>
      </c>
      <c r="H3029" s="1" t="str">
        <f>"Результат"</f>
        <v>Результат</v>
      </c>
      <c r="I3029" s="1" t="str">
        <f>"Позитивний"</f>
        <v>Позитивний</v>
      </c>
      <c r="J3029" s="1" t="str">
        <f>"Так"</f>
        <v>Так</v>
      </c>
    </row>
    <row r="3030" spans="1:10" ht="45" x14ac:dyDescent="0.25">
      <c r="A3030" s="1" t="str">
        <f>"3116-2020/27"</f>
        <v>3116-2020/27</v>
      </c>
      <c r="B3030" s="1" t="str">
        <f t="shared" si="504"/>
        <v>19.06.2020</v>
      </c>
      <c r="C3030" s="1" t="str">
        <f t="shared" si="503"/>
        <v>Закрито</v>
      </c>
      <c r="D3030" s="1" t="str">
        <f>"Реєстрація місця проживання особи"</f>
        <v>Реєстрація місця проживання особи</v>
      </c>
      <c r="E3030" s="1" t="str">
        <f>"Реєстрація місця проживання"</f>
        <v>Реєстрація місця проживання</v>
      </c>
      <c r="F3030" s="1" t="str">
        <f>"Відділ реєстрації Новокаховської міської ради"</f>
        <v>Відділ реєстрації Новокаховської міської ради</v>
      </c>
      <c r="G3030" s="1" t="str">
        <f>"1"</f>
        <v>1</v>
      </c>
      <c r="H3030" s="1" t="str">
        <f>"Результат"</f>
        <v>Результат</v>
      </c>
      <c r="I3030" s="1" t="str">
        <f>"Позитивний"</f>
        <v>Позитивний</v>
      </c>
      <c r="J3030" s="1" t="str">
        <f>"Так"</f>
        <v>Так</v>
      </c>
    </row>
    <row r="3031" spans="1:10" ht="45" x14ac:dyDescent="0.25">
      <c r="A3031" s="1" t="str">
        <f>"3125-2020/27"</f>
        <v>3125-2020/27</v>
      </c>
      <c r="B3031" s="1" t="str">
        <f t="shared" si="504"/>
        <v>19.06.2020</v>
      </c>
      <c r="C3031" s="1" t="str">
        <f t="shared" si="503"/>
        <v>Закрито</v>
      </c>
      <c r="D3031" s="1" t="str">
        <f>"Зняття з реєстрації місця проживання"</f>
        <v>Зняття з реєстрації місця проживання</v>
      </c>
      <c r="E3031" s="1" t="str">
        <f>"Реєстрація місця проживання"</f>
        <v>Реєстрація місця проживання</v>
      </c>
      <c r="F3031" s="1" t="str">
        <f>"Відділ реєстрації Новокаховської міської ради"</f>
        <v>Відділ реєстрації Новокаховської міської ради</v>
      </c>
      <c r="G3031" s="1" t="str">
        <f>"1"</f>
        <v>1</v>
      </c>
      <c r="H3031" s="1" t="str">
        <f>"Результат"</f>
        <v>Результат</v>
      </c>
      <c r="I3031" s="1" t="str">
        <f>"Позитивний"</f>
        <v>Позитивний</v>
      </c>
      <c r="J3031" s="1" t="str">
        <f>"Так"</f>
        <v>Так</v>
      </c>
    </row>
    <row r="3032" spans="1:10" ht="45" x14ac:dyDescent="0.25">
      <c r="A3032" s="1" t="str">
        <f>"3128-2020/27"</f>
        <v>3128-2020/27</v>
      </c>
      <c r="B3032" s="1" t="str">
        <f t="shared" si="504"/>
        <v>19.06.2020</v>
      </c>
      <c r="C3032" s="1" t="str">
        <f t="shared" si="503"/>
        <v>Закрито</v>
      </c>
      <c r="D3032" s="1" t="str">
        <f>"Зняття з реєстрації місця проживання"</f>
        <v>Зняття з реєстрації місця проживання</v>
      </c>
      <c r="E3032" s="1" t="str">
        <f>"Реєстрація місця проживання"</f>
        <v>Реєстрація місця проживання</v>
      </c>
      <c r="F3032" s="1" t="str">
        <f>"Відділ реєстрації Новокаховської міської ради"</f>
        <v>Відділ реєстрації Новокаховської міської ради</v>
      </c>
      <c r="G3032" s="1" t="str">
        <f>"1"</f>
        <v>1</v>
      </c>
      <c r="H3032" s="1" t="str">
        <f>"Результат"</f>
        <v>Результат</v>
      </c>
      <c r="I3032" s="1" t="str">
        <f>"Позитивний"</f>
        <v>Позитивний</v>
      </c>
      <c r="J3032" s="1" t="str">
        <f>"Так"</f>
        <v>Так</v>
      </c>
    </row>
    <row r="3033" spans="1:10" ht="45" x14ac:dyDescent="0.25">
      <c r="A3033" s="1" t="str">
        <f>"3117-2020/27"</f>
        <v>3117-2020/27</v>
      </c>
      <c r="B3033" s="1" t="str">
        <f t="shared" si="504"/>
        <v>19.06.2020</v>
      </c>
      <c r="C3033" s="1" t="str">
        <f t="shared" si="503"/>
        <v>Закрито</v>
      </c>
      <c r="D3033" s="1" t="str">
        <f>"Видача дозволу на порушення об’єктів благоустрою"</f>
        <v>Видача дозволу на порушення об’єктів благоустрою</v>
      </c>
      <c r="E3033" s="1" t="str">
        <f>"Об’єкти благоустрою"</f>
        <v>Об’єкти благоустрою</v>
      </c>
      <c r="F3033" s="1" t="str">
        <f>"Виконавчий комітет Новокаховської міської ради"</f>
        <v>Виконавчий комітет Новокаховської міської ради</v>
      </c>
      <c r="G3033" s="1" t="str">
        <f>"10"</f>
        <v>10</v>
      </c>
      <c r="H3033" s="1" t="str">
        <f>"Результат"</f>
        <v>Результат</v>
      </c>
      <c r="I3033" s="1" t="str">
        <f>"Позитивний"</f>
        <v>Позитивний</v>
      </c>
      <c r="J3033" s="1" t="str">
        <f>"Ні"</f>
        <v>Ні</v>
      </c>
    </row>
    <row r="3034" spans="1:10" ht="135" x14ac:dyDescent="0.25">
      <c r="A3034" s="1" t="str">
        <f>"3129-2020/27"</f>
        <v>3129-2020/27</v>
      </c>
      <c r="B3034" s="1" t="str">
        <f t="shared" si="504"/>
        <v>19.06.2020</v>
      </c>
      <c r="C3034" s="1" t="str">
        <f t="shared" si="503"/>
        <v>Закрито</v>
      </c>
      <c r="D303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34" s="1" t="str">
        <f>"Земельні питання"</f>
        <v>Земельні питання</v>
      </c>
      <c r="F303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34" s="1" t="str">
        <f>"1"</f>
        <v>1</v>
      </c>
      <c r="H3034" s="1" t="str">
        <f>"Результат"</f>
        <v>Результат</v>
      </c>
      <c r="I3034" s="1" t="str">
        <f>"Позитивний"</f>
        <v>Позитивний</v>
      </c>
      <c r="J3034" s="1" t="str">
        <f>"Так"</f>
        <v>Так</v>
      </c>
    </row>
    <row r="3035" spans="1:10" ht="135" x14ac:dyDescent="0.25">
      <c r="A3035" s="1" t="str">
        <f>"3122-2020/27"</f>
        <v>3122-2020/27</v>
      </c>
      <c r="B3035" s="1" t="str">
        <f t="shared" si="504"/>
        <v>19.06.2020</v>
      </c>
      <c r="C3035" s="1" t="str">
        <f t="shared" si="503"/>
        <v>Закрито</v>
      </c>
      <c r="D303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35" s="1" t="str">
        <f>"Земельні питання"</f>
        <v>Земельні питання</v>
      </c>
      <c r="F303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35" s="1" t="str">
        <f>"3"</f>
        <v>3</v>
      </c>
      <c r="H3035" s="1" t="str">
        <f>"Результат"</f>
        <v>Результат</v>
      </c>
      <c r="I3035" s="1" t="str">
        <f>"Позитивний"</f>
        <v>Позитивний</v>
      </c>
      <c r="J3035" s="1" t="str">
        <f>"Ні"</f>
        <v>Ні</v>
      </c>
    </row>
    <row r="3036" spans="1:10" ht="225" x14ac:dyDescent="0.25">
      <c r="A3036" s="1" t="str">
        <f>"3127-2020/27"</f>
        <v>3127-2020/27</v>
      </c>
      <c r="B3036" s="1" t="str">
        <f t="shared" si="504"/>
        <v>19.06.2020</v>
      </c>
      <c r="C3036" s="1" t="str">
        <f>"На обробці в адмін. органі"</f>
        <v>На обробці в адмін. органі</v>
      </c>
      <c r="D3036" s="1" t="s">
        <v>2</v>
      </c>
      <c r="E3036" s="1" t="str">
        <f>"Будівництво"</f>
        <v>Будівництво</v>
      </c>
      <c r="F303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036" s="1" t="str">
        <f>"30"</f>
        <v>30</v>
      </c>
      <c r="H3036" s="1" t="str">
        <f>""</f>
        <v/>
      </c>
      <c r="I3036" s="1" t="str">
        <f>""</f>
        <v/>
      </c>
      <c r="J3036" s="1" t="str">
        <f>"Ні"</f>
        <v>Ні</v>
      </c>
    </row>
    <row r="3037" spans="1:10" ht="45" x14ac:dyDescent="0.25">
      <c r="A3037" s="1" t="str">
        <f>"3126-2020/27"</f>
        <v>3126-2020/27</v>
      </c>
      <c r="B3037" s="1" t="str">
        <f t="shared" si="504"/>
        <v>19.06.2020</v>
      </c>
      <c r="C3037" s="1" t="str">
        <f t="shared" ref="C3037:C3073" si="505">"Закрито"</f>
        <v>Закрито</v>
      </c>
      <c r="D3037" s="1" t="str">
        <f>"Реєстрація місця проживання особи"</f>
        <v>Реєстрація місця проживання особи</v>
      </c>
      <c r="E3037" s="1" t="str">
        <f>"Реєстрація місця проживання"</f>
        <v>Реєстрація місця проживання</v>
      </c>
      <c r="F3037" s="1" t="str">
        <f>"Відділ реєстрації Новокаховської міської ради"</f>
        <v>Відділ реєстрації Новокаховської міської ради</v>
      </c>
      <c r="G3037" s="1" t="str">
        <f>"1"</f>
        <v>1</v>
      </c>
      <c r="H3037" s="1" t="str">
        <f>"Результат"</f>
        <v>Результат</v>
      </c>
      <c r="I3037" s="1" t="str">
        <f>"Позитивний"</f>
        <v>Позитивний</v>
      </c>
      <c r="J3037" s="1" t="str">
        <f>"Так"</f>
        <v>Так</v>
      </c>
    </row>
    <row r="3038" spans="1:10" ht="45" x14ac:dyDescent="0.25">
      <c r="A3038" s="1" t="str">
        <f>"3124-2020/27"</f>
        <v>3124-2020/27</v>
      </c>
      <c r="B3038" s="1" t="str">
        <f t="shared" si="504"/>
        <v>19.06.2020</v>
      </c>
      <c r="C3038" s="1" t="str">
        <f t="shared" si="505"/>
        <v>Закрито</v>
      </c>
      <c r="D3038" s="1" t="str">
        <f>"Реєстрація місця проживання особи"</f>
        <v>Реєстрація місця проживання особи</v>
      </c>
      <c r="E3038" s="1" t="str">
        <f>"Реєстрація місця проживання"</f>
        <v>Реєстрація місця проживання</v>
      </c>
      <c r="F3038" s="1" t="str">
        <f>"Відділ реєстрації Новокаховської міської ради"</f>
        <v>Відділ реєстрації Новокаховської міської ради</v>
      </c>
      <c r="G3038" s="1" t="str">
        <f>"1"</f>
        <v>1</v>
      </c>
      <c r="H3038" s="1" t="str">
        <f>"Результат"</f>
        <v>Результат</v>
      </c>
      <c r="I3038" s="1" t="str">
        <f>"Позитивний"</f>
        <v>Позитивний</v>
      </c>
      <c r="J3038" s="1" t="str">
        <f>"Так"</f>
        <v>Так</v>
      </c>
    </row>
    <row r="3039" spans="1:10" ht="135" x14ac:dyDescent="0.25">
      <c r="A3039" s="1" t="str">
        <f>"3119-2020/27"</f>
        <v>3119-2020/27</v>
      </c>
      <c r="B3039" s="1" t="str">
        <f t="shared" si="504"/>
        <v>19.06.2020</v>
      </c>
      <c r="C3039" s="1" t="str">
        <f t="shared" si="505"/>
        <v>Закрито</v>
      </c>
      <c r="D303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39" s="1" t="str">
        <f>"Земельні питання"</f>
        <v>Земельні питання</v>
      </c>
      <c r="F303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39" s="1" t="str">
        <f>"1"</f>
        <v>1</v>
      </c>
      <c r="H3039" s="1" t="str">
        <f>"Результат"</f>
        <v>Результат</v>
      </c>
      <c r="I3039" s="1" t="str">
        <f>"Позитивний"</f>
        <v>Позитивний</v>
      </c>
      <c r="J3039" s="1" t="str">
        <f>"Так"</f>
        <v>Так</v>
      </c>
    </row>
    <row r="3040" spans="1:10" ht="135" x14ac:dyDescent="0.25">
      <c r="A3040" s="1" t="str">
        <f>"3130-2020/27"</f>
        <v>3130-2020/27</v>
      </c>
      <c r="B3040" s="1" t="str">
        <f t="shared" si="504"/>
        <v>19.06.2020</v>
      </c>
      <c r="C3040" s="1" t="str">
        <f t="shared" si="505"/>
        <v>Закрито</v>
      </c>
      <c r="D304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40" s="1" t="str">
        <f>"Земельні питання"</f>
        <v>Земельні питання</v>
      </c>
      <c r="F304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40" s="1" t="str">
        <f>"1"</f>
        <v>1</v>
      </c>
      <c r="H3040" s="1" t="str">
        <f>"Результат"</f>
        <v>Результат</v>
      </c>
      <c r="I3040" s="1" t="str">
        <f>"Позитивний"</f>
        <v>Позитивний</v>
      </c>
      <c r="J3040" s="1" t="str">
        <f>"Так"</f>
        <v>Так</v>
      </c>
    </row>
    <row r="3041" spans="1:10" ht="135" x14ac:dyDescent="0.25">
      <c r="A3041" s="1" t="str">
        <f>"3131-2020/27"</f>
        <v>3131-2020/27</v>
      </c>
      <c r="B3041" s="1" t="str">
        <f t="shared" si="504"/>
        <v>19.06.2020</v>
      </c>
      <c r="C3041" s="1" t="str">
        <f t="shared" si="505"/>
        <v>Закрито</v>
      </c>
      <c r="D3041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41" s="1" t="str">
        <f>"Земельні питання"</f>
        <v>Земельні питання</v>
      </c>
      <c r="F304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41" s="1" t="str">
        <f>"3"</f>
        <v>3</v>
      </c>
      <c r="H3041" s="1" t="str">
        <f>"Результат"</f>
        <v>Результат</v>
      </c>
      <c r="I3041" s="1" t="str">
        <f>"Позитивний"</f>
        <v>Позитивний</v>
      </c>
      <c r="J3041" s="1" t="str">
        <f>"Ні"</f>
        <v>Ні</v>
      </c>
    </row>
    <row r="3042" spans="1:10" ht="135" x14ac:dyDescent="0.25">
      <c r="A3042" s="1" t="str">
        <f>"3120-2020/27"</f>
        <v>3120-2020/27</v>
      </c>
      <c r="B3042" s="1" t="str">
        <f t="shared" si="504"/>
        <v>19.06.2020</v>
      </c>
      <c r="C3042" s="1" t="str">
        <f t="shared" si="505"/>
        <v>Закрито</v>
      </c>
      <c r="D3042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42" s="1" t="str">
        <f>"Земельні питання"</f>
        <v>Земельні питання</v>
      </c>
      <c r="F30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42" s="1" t="str">
        <f>"14"</f>
        <v>14</v>
      </c>
      <c r="H3042" s="1" t="str">
        <f>"Результат"</f>
        <v>Результат</v>
      </c>
      <c r="I3042" s="1" t="str">
        <f>"Мотивована відмова"</f>
        <v>Мотивована відмова</v>
      </c>
      <c r="J3042" s="1" t="str">
        <f>"Ні"</f>
        <v>Ні</v>
      </c>
    </row>
    <row r="3043" spans="1:10" ht="135" x14ac:dyDescent="0.25">
      <c r="A3043" s="1" t="str">
        <f>"3138-2020/27"</f>
        <v>3138-2020/27</v>
      </c>
      <c r="B3043" s="1" t="str">
        <f t="shared" ref="B3043:B3068" si="506">"22.06.2020"</f>
        <v>22.06.2020</v>
      </c>
      <c r="C3043" s="1" t="str">
        <f t="shared" si="505"/>
        <v>Закрито</v>
      </c>
      <c r="D304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43" s="1" t="str">
        <f>"Земельні питання"</f>
        <v>Земельні питання</v>
      </c>
      <c r="F304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43" s="1" t="str">
        <f>"14"</f>
        <v>14</v>
      </c>
      <c r="H3043" s="1" t="str">
        <f>"Результат"</f>
        <v>Результат</v>
      </c>
      <c r="I3043" s="1" t="str">
        <f>"Позитивний"</f>
        <v>Позитивний</v>
      </c>
      <c r="J3043" s="1" t="str">
        <f>"Ні"</f>
        <v>Ні</v>
      </c>
    </row>
    <row r="3044" spans="1:10" ht="90" x14ac:dyDescent="0.25">
      <c r="A3044" s="1" t="str">
        <f>"3133-2020/27"</f>
        <v>3133-2020/27</v>
      </c>
      <c r="B3044" s="1" t="str">
        <f t="shared" si="506"/>
        <v>22.06.2020</v>
      </c>
      <c r="C3044" s="1" t="str">
        <f t="shared" si="505"/>
        <v>Закрито</v>
      </c>
      <c r="D30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44" s="1" t="str">
        <f>"Інші послуги"</f>
        <v>Інші послуги</v>
      </c>
      <c r="F30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44" s="1" t="str">
        <f>"5"</f>
        <v>5</v>
      </c>
      <c r="H3044" s="1" t="str">
        <f>"Результат"</f>
        <v>Результат</v>
      </c>
      <c r="I3044" s="1" t="str">
        <f>"Позитивний"</f>
        <v>Позитивний</v>
      </c>
      <c r="J3044" s="1" t="str">
        <f>"Ні"</f>
        <v>Ні</v>
      </c>
    </row>
    <row r="3045" spans="1:10" ht="90" x14ac:dyDescent="0.25">
      <c r="A3045" s="1" t="str">
        <f>"3132-2020/27"</f>
        <v>3132-2020/27</v>
      </c>
      <c r="B3045" s="1" t="str">
        <f t="shared" si="506"/>
        <v>22.06.2020</v>
      </c>
      <c r="C3045" s="1" t="str">
        <f t="shared" si="505"/>
        <v>Закрито</v>
      </c>
      <c r="D304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45" s="1" t="str">
        <f>"Інші послуги"</f>
        <v>Інші послуги</v>
      </c>
      <c r="F304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45" s="1" t="str">
        <f>"5"</f>
        <v>5</v>
      </c>
      <c r="H3045" s="1" t="str">
        <f>"Результат"</f>
        <v>Результат</v>
      </c>
      <c r="I3045" s="1" t="str">
        <f>"Позитивний"</f>
        <v>Позитивний</v>
      </c>
      <c r="J3045" s="1" t="str">
        <f>"Ні"</f>
        <v>Ні</v>
      </c>
    </row>
    <row r="3046" spans="1:10" ht="135" x14ac:dyDescent="0.25">
      <c r="A3046" s="1" t="str">
        <f>"3151-2020/27"</f>
        <v>3151-2020/27</v>
      </c>
      <c r="B3046" s="1" t="str">
        <f t="shared" si="506"/>
        <v>22.06.2020</v>
      </c>
      <c r="C3046" s="1" t="str">
        <f t="shared" si="505"/>
        <v>Закрито</v>
      </c>
      <c r="D304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46" s="1" t="str">
        <f>"Земельні питання"</f>
        <v>Земельні питання</v>
      </c>
      <c r="F30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46" s="1" t="str">
        <f>"1"</f>
        <v>1</v>
      </c>
      <c r="H3046" s="1" t="str">
        <f>"Результат"</f>
        <v>Результат</v>
      </c>
      <c r="I3046" s="1" t="str">
        <f>"Позитивний"</f>
        <v>Позитивний</v>
      </c>
      <c r="J3046" s="1" t="str">
        <f>"Так"</f>
        <v>Так</v>
      </c>
    </row>
    <row r="3047" spans="1:10" ht="45" x14ac:dyDescent="0.25">
      <c r="A3047" s="1" t="str">
        <f>"3148-2020/27"</f>
        <v>3148-2020/27</v>
      </c>
      <c r="B3047" s="1" t="str">
        <f t="shared" si="506"/>
        <v>22.06.2020</v>
      </c>
      <c r="C3047" s="1" t="str">
        <f t="shared" si="505"/>
        <v>Закрито</v>
      </c>
      <c r="D3047" s="1" t="str">
        <f>"Зняття з реєстрації місця проживання"</f>
        <v>Зняття з реєстрації місця проживання</v>
      </c>
      <c r="E3047" s="1" t="str">
        <f>"Реєстрація місця проживання"</f>
        <v>Реєстрація місця проживання</v>
      </c>
      <c r="F3047" s="1" t="str">
        <f>"Відділ реєстрації Новокаховської міської ради"</f>
        <v>Відділ реєстрації Новокаховської міської ради</v>
      </c>
      <c r="G3047" s="1" t="str">
        <f>"1"</f>
        <v>1</v>
      </c>
      <c r="H3047" s="1" t="str">
        <f>"Результат"</f>
        <v>Результат</v>
      </c>
      <c r="I3047" s="1" t="str">
        <f>"Позитивний"</f>
        <v>Позитивний</v>
      </c>
      <c r="J3047" s="1" t="str">
        <f>"Так"</f>
        <v>Так</v>
      </c>
    </row>
    <row r="3048" spans="1:10" ht="135" x14ac:dyDescent="0.25">
      <c r="A3048" s="1" t="str">
        <f>"3157-2020/27"</f>
        <v>3157-2020/27</v>
      </c>
      <c r="B3048" s="1" t="str">
        <f t="shared" si="506"/>
        <v>22.06.2020</v>
      </c>
      <c r="C3048" s="1" t="str">
        <f t="shared" si="505"/>
        <v>Закрито</v>
      </c>
      <c r="D304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48" s="1" t="str">
        <f>"Земельні питання"</f>
        <v>Земельні питання</v>
      </c>
      <c r="F304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48" s="1" t="str">
        <f>"1"</f>
        <v>1</v>
      </c>
      <c r="H3048" s="1" t="str">
        <f>"Результат"</f>
        <v>Результат</v>
      </c>
      <c r="I3048" s="1" t="str">
        <f>"Позитивний"</f>
        <v>Позитивний</v>
      </c>
      <c r="J3048" s="1" t="str">
        <f>"Так"</f>
        <v>Так</v>
      </c>
    </row>
    <row r="3049" spans="1:10" ht="45" x14ac:dyDescent="0.25">
      <c r="A3049" s="1" t="str">
        <f>"3144-2020/27"</f>
        <v>3144-2020/27</v>
      </c>
      <c r="B3049" s="1" t="str">
        <f t="shared" si="506"/>
        <v>22.06.2020</v>
      </c>
      <c r="C3049" s="1" t="str">
        <f t="shared" si="505"/>
        <v>Закрито</v>
      </c>
      <c r="D3049" s="1" t="str">
        <f>"Зняття з реєстрації місця проживання"</f>
        <v>Зняття з реєстрації місця проживання</v>
      </c>
      <c r="E3049" s="1" t="str">
        <f>"Реєстрація місця проживання"</f>
        <v>Реєстрація місця проживання</v>
      </c>
      <c r="F3049" s="1" t="str">
        <f>"Відділ реєстрації Новокаховської міської ради"</f>
        <v>Відділ реєстрації Новокаховської міської ради</v>
      </c>
      <c r="G3049" s="1" t="str">
        <f>"1"</f>
        <v>1</v>
      </c>
      <c r="H3049" s="1" t="str">
        <f>"Результат"</f>
        <v>Результат</v>
      </c>
      <c r="I3049" s="1" t="str">
        <f>"Позитивний"</f>
        <v>Позитивний</v>
      </c>
      <c r="J3049" s="1" t="str">
        <f>"Так"</f>
        <v>Так</v>
      </c>
    </row>
    <row r="3050" spans="1:10" ht="90" x14ac:dyDescent="0.25">
      <c r="A3050" s="1" t="str">
        <f>"3154-2020/27"</f>
        <v>3154-2020/27</v>
      </c>
      <c r="B3050" s="1" t="str">
        <f t="shared" si="506"/>
        <v>22.06.2020</v>
      </c>
      <c r="C3050" s="1" t="str">
        <f t="shared" si="505"/>
        <v>Закрито</v>
      </c>
      <c r="D305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50" s="1" t="str">
        <f>"Інші послуги"</f>
        <v>Інші послуги</v>
      </c>
      <c r="F305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50" s="1" t="str">
        <f>"5"</f>
        <v>5</v>
      </c>
      <c r="H3050" s="1" t="str">
        <f>"Результат"</f>
        <v>Результат</v>
      </c>
      <c r="I3050" s="1" t="str">
        <f>"Позитивний"</f>
        <v>Позитивний</v>
      </c>
      <c r="J3050" s="1" t="str">
        <f>"Ні"</f>
        <v>Ні</v>
      </c>
    </row>
    <row r="3051" spans="1:10" ht="45" x14ac:dyDescent="0.25">
      <c r="A3051" s="1" t="str">
        <f>"3145-2020/27"</f>
        <v>3145-2020/27</v>
      </c>
      <c r="B3051" s="1" t="str">
        <f t="shared" si="506"/>
        <v>22.06.2020</v>
      </c>
      <c r="C3051" s="1" t="str">
        <f t="shared" si="505"/>
        <v>Закрито</v>
      </c>
      <c r="D3051" s="1" t="str">
        <f>"Зняття з реєстрації місця проживання"</f>
        <v>Зняття з реєстрації місця проживання</v>
      </c>
      <c r="E3051" s="1" t="str">
        <f>"Реєстрація місця проживання"</f>
        <v>Реєстрація місця проживання</v>
      </c>
      <c r="F3051" s="1" t="str">
        <f>"Відділ реєстрації Новокаховської міської ради"</f>
        <v>Відділ реєстрації Новокаховської міської ради</v>
      </c>
      <c r="G3051" s="1" t="str">
        <f>"1"</f>
        <v>1</v>
      </c>
      <c r="H3051" s="1" t="str">
        <f>"Результат"</f>
        <v>Результат</v>
      </c>
      <c r="I3051" s="1" t="str">
        <f>"Мотивована відмова"</f>
        <v>Мотивована відмова</v>
      </c>
      <c r="J3051" s="1" t="str">
        <f>"Так"</f>
        <v>Так</v>
      </c>
    </row>
    <row r="3052" spans="1:10" ht="135" x14ac:dyDescent="0.25">
      <c r="A3052" s="1" t="str">
        <f>"3140-2020/27"</f>
        <v>3140-2020/27</v>
      </c>
      <c r="B3052" s="1" t="str">
        <f t="shared" si="506"/>
        <v>22.06.2020</v>
      </c>
      <c r="C3052" s="1" t="str">
        <f t="shared" si="505"/>
        <v>Закрито</v>
      </c>
      <c r="D30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2" s="1" t="str">
        <f>"Земельні питання"</f>
        <v>Земельні питання</v>
      </c>
      <c r="F30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52" s="1" t="str">
        <f>"1"</f>
        <v>1</v>
      </c>
      <c r="H3052" s="1" t="str">
        <f>"Результат"</f>
        <v>Результат</v>
      </c>
      <c r="I3052" s="1" t="str">
        <f>"Позитивний"</f>
        <v>Позитивний</v>
      </c>
      <c r="J3052" s="1" t="str">
        <f>"Так"</f>
        <v>Так</v>
      </c>
    </row>
    <row r="3053" spans="1:10" ht="45" x14ac:dyDescent="0.25">
      <c r="A3053" s="1" t="str">
        <f>"3146-2020/27"</f>
        <v>3146-2020/27</v>
      </c>
      <c r="B3053" s="1" t="str">
        <f t="shared" si="506"/>
        <v>22.06.2020</v>
      </c>
      <c r="C3053" s="1" t="str">
        <f t="shared" si="505"/>
        <v>Закрито</v>
      </c>
      <c r="D3053" s="1" t="str">
        <f>"Зняття з реєстрації місця проживання"</f>
        <v>Зняття з реєстрації місця проживання</v>
      </c>
      <c r="E3053" s="1" t="str">
        <f>"Реєстрація місця проживання"</f>
        <v>Реєстрація місця проживання</v>
      </c>
      <c r="F3053" s="1" t="str">
        <f>"Відділ реєстрації Новокаховської міської ради"</f>
        <v>Відділ реєстрації Новокаховської міської ради</v>
      </c>
      <c r="G3053" s="1" t="str">
        <f>"1"</f>
        <v>1</v>
      </c>
      <c r="H3053" s="1" t="str">
        <f>"Результат"</f>
        <v>Результат</v>
      </c>
      <c r="I3053" s="1" t="str">
        <f>"Позитивний"</f>
        <v>Позитивний</v>
      </c>
      <c r="J3053" s="1" t="str">
        <f>"Так"</f>
        <v>Так</v>
      </c>
    </row>
    <row r="3054" spans="1:10" ht="45" x14ac:dyDescent="0.25">
      <c r="A3054" s="1" t="str">
        <f>"3147-2020/27"</f>
        <v>3147-2020/27</v>
      </c>
      <c r="B3054" s="1" t="str">
        <f t="shared" si="506"/>
        <v>22.06.2020</v>
      </c>
      <c r="C3054" s="1" t="str">
        <f t="shared" si="505"/>
        <v>Закрито</v>
      </c>
      <c r="D3054" s="1" t="str">
        <f>"Зняття з реєстрації місця проживання"</f>
        <v>Зняття з реєстрації місця проживання</v>
      </c>
      <c r="E3054" s="1" t="str">
        <f>"Реєстрація місця проживання"</f>
        <v>Реєстрація місця проживання</v>
      </c>
      <c r="F3054" s="1" t="str">
        <f>"Відділ реєстрації Новокаховської міської ради"</f>
        <v>Відділ реєстрації Новокаховської міської ради</v>
      </c>
      <c r="G3054" s="1" t="str">
        <f>"1"</f>
        <v>1</v>
      </c>
      <c r="H3054" s="1" t="str">
        <f>"Результат"</f>
        <v>Результат</v>
      </c>
      <c r="I3054" s="1" t="str">
        <f>"Позитивний"</f>
        <v>Позитивний</v>
      </c>
      <c r="J3054" s="1" t="str">
        <f>"Так"</f>
        <v>Так</v>
      </c>
    </row>
    <row r="3055" spans="1:10" ht="135" x14ac:dyDescent="0.25">
      <c r="A3055" s="1" t="str">
        <f>"3141-2020/27"</f>
        <v>3141-2020/27</v>
      </c>
      <c r="B3055" s="1" t="str">
        <f t="shared" si="506"/>
        <v>22.06.2020</v>
      </c>
      <c r="C3055" s="1" t="str">
        <f t="shared" si="505"/>
        <v>Закрито</v>
      </c>
      <c r="D305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5" s="1" t="str">
        <f>"Земельні питання"</f>
        <v>Земельні питання</v>
      </c>
      <c r="F305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55" s="1" t="str">
        <f>"1"</f>
        <v>1</v>
      </c>
      <c r="H3055" s="1" t="str">
        <f>"Результат"</f>
        <v>Результат</v>
      </c>
      <c r="I3055" s="1" t="str">
        <f>"Позитивний"</f>
        <v>Позитивний</v>
      </c>
      <c r="J3055" s="1" t="str">
        <f>"Так"</f>
        <v>Так</v>
      </c>
    </row>
    <row r="3056" spans="1:10" ht="135" x14ac:dyDescent="0.25">
      <c r="A3056" s="1" t="str">
        <f>"3137-2020/27"</f>
        <v>3137-2020/27</v>
      </c>
      <c r="B3056" s="1" t="str">
        <f t="shared" si="506"/>
        <v>22.06.2020</v>
      </c>
      <c r="C3056" s="1" t="str">
        <f t="shared" si="505"/>
        <v>Закрито</v>
      </c>
      <c r="D305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56" s="1" t="str">
        <f>"Земельні питання"</f>
        <v>Земельні питання</v>
      </c>
      <c r="F30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56" s="1" t="str">
        <f>"14"</f>
        <v>14</v>
      </c>
      <c r="H3056" s="1" t="str">
        <f>"Результат"</f>
        <v>Результат</v>
      </c>
      <c r="I3056" s="1" t="str">
        <f>"Позитивний"</f>
        <v>Позитивний</v>
      </c>
      <c r="J3056" s="1" t="str">
        <f>"Ні"</f>
        <v>Ні</v>
      </c>
    </row>
    <row r="3057" spans="1:10" ht="135" x14ac:dyDescent="0.25">
      <c r="A3057" s="1" t="str">
        <f>"3142-2020/27"</f>
        <v>3142-2020/27</v>
      </c>
      <c r="B3057" s="1" t="str">
        <f t="shared" si="506"/>
        <v>22.06.2020</v>
      </c>
      <c r="C3057" s="1" t="str">
        <f t="shared" si="505"/>
        <v>Закрито</v>
      </c>
      <c r="D30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7" s="1" t="str">
        <f>"Земельні питання"</f>
        <v>Земельні питання</v>
      </c>
      <c r="F30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57" s="1" t="str">
        <f>"1"</f>
        <v>1</v>
      </c>
      <c r="H3057" s="1" t="str">
        <f>"Результат"</f>
        <v>Результат</v>
      </c>
      <c r="I3057" s="1" t="str">
        <f>"Позитивний"</f>
        <v>Позитивний</v>
      </c>
      <c r="J3057" s="1" t="str">
        <f>"Так"</f>
        <v>Так</v>
      </c>
    </row>
    <row r="3058" spans="1:10" ht="135" x14ac:dyDescent="0.25">
      <c r="A3058" s="1" t="str">
        <f>"3153-2020/27"</f>
        <v>3153-2020/27</v>
      </c>
      <c r="B3058" s="1" t="str">
        <f t="shared" si="506"/>
        <v>22.06.2020</v>
      </c>
      <c r="C3058" s="1" t="str">
        <f t="shared" si="505"/>
        <v>Закрито</v>
      </c>
      <c r="D305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8" s="1" t="str">
        <f>"Земельні питання"</f>
        <v>Земельні питання</v>
      </c>
      <c r="F305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58" s="1" t="str">
        <f>"1"</f>
        <v>1</v>
      </c>
      <c r="H3058" s="1" t="str">
        <f>"Результат"</f>
        <v>Результат</v>
      </c>
      <c r="I3058" s="1" t="str">
        <f>"Позитивний"</f>
        <v>Позитивний</v>
      </c>
      <c r="J3058" s="1" t="str">
        <f>"Так"</f>
        <v>Так</v>
      </c>
    </row>
    <row r="3059" spans="1:10" ht="135" x14ac:dyDescent="0.25">
      <c r="A3059" s="1" t="str">
        <f>"3149-2020/27"</f>
        <v>3149-2020/27</v>
      </c>
      <c r="B3059" s="1" t="str">
        <f t="shared" si="506"/>
        <v>22.06.2020</v>
      </c>
      <c r="C3059" s="1" t="str">
        <f t="shared" si="505"/>
        <v>Закрито</v>
      </c>
      <c r="D30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59" s="1" t="str">
        <f>"Земельні питання"</f>
        <v>Земельні питання</v>
      </c>
      <c r="F30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59" s="1" t="str">
        <f>"1"</f>
        <v>1</v>
      </c>
      <c r="H3059" s="1" t="str">
        <f>"Результат"</f>
        <v>Результат</v>
      </c>
      <c r="I3059" s="1" t="str">
        <f>"Позитивний"</f>
        <v>Позитивний</v>
      </c>
      <c r="J3059" s="1" t="str">
        <f>"Так"</f>
        <v>Так</v>
      </c>
    </row>
    <row r="3060" spans="1:10" ht="90" x14ac:dyDescent="0.25">
      <c r="A3060" s="1" t="str">
        <f>"3134-2020/27"</f>
        <v>3134-2020/27</v>
      </c>
      <c r="B3060" s="1" t="str">
        <f t="shared" si="506"/>
        <v>22.06.2020</v>
      </c>
      <c r="C3060" s="1" t="str">
        <f t="shared" si="505"/>
        <v>Закрито</v>
      </c>
      <c r="D306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60" s="1" t="str">
        <f>"Інші послуги"</f>
        <v>Інші послуги</v>
      </c>
      <c r="F306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60" s="1" t="str">
        <f>"5"</f>
        <v>5</v>
      </c>
      <c r="H3060" s="1" t="str">
        <f>"Результат"</f>
        <v>Результат</v>
      </c>
      <c r="I3060" s="1" t="str">
        <f>"Позитивний"</f>
        <v>Позитивний</v>
      </c>
      <c r="J3060" s="1" t="str">
        <f>"Ні"</f>
        <v>Ні</v>
      </c>
    </row>
    <row r="3061" spans="1:10" ht="135" x14ac:dyDescent="0.25">
      <c r="A3061" s="1" t="str">
        <f>"3150-2020/27"</f>
        <v>3150-2020/27</v>
      </c>
      <c r="B3061" s="1" t="str">
        <f t="shared" si="506"/>
        <v>22.06.2020</v>
      </c>
      <c r="C3061" s="1" t="str">
        <f t="shared" si="505"/>
        <v>Закрито</v>
      </c>
      <c r="D306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1" s="1" t="str">
        <f t="shared" ref="E3061:E3070" si="507">"Земельні питання"</f>
        <v>Земельні питання</v>
      </c>
      <c r="F30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1" s="1" t="str">
        <f>"1"</f>
        <v>1</v>
      </c>
      <c r="H3061" s="1" t="str">
        <f>"Результат"</f>
        <v>Результат</v>
      </c>
      <c r="I3061" s="1" t="str">
        <f>"Позитивний"</f>
        <v>Позитивний</v>
      </c>
      <c r="J3061" s="1" t="str">
        <f>"Так"</f>
        <v>Так</v>
      </c>
    </row>
    <row r="3062" spans="1:10" ht="135" x14ac:dyDescent="0.25">
      <c r="A3062" s="1" t="str">
        <f>"3143-2020/27"</f>
        <v>3143-2020/27</v>
      </c>
      <c r="B3062" s="1" t="str">
        <f t="shared" si="506"/>
        <v>22.06.2020</v>
      </c>
      <c r="C3062" s="1" t="str">
        <f t="shared" si="505"/>
        <v>Закрито</v>
      </c>
      <c r="D306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62" s="1" t="str">
        <f t="shared" si="507"/>
        <v>Земельні питання</v>
      </c>
      <c r="F306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2" s="1" t="str">
        <f>"3"</f>
        <v>3</v>
      </c>
      <c r="H3062" s="1" t="str">
        <f>"Результат"</f>
        <v>Результат</v>
      </c>
      <c r="I3062" s="1" t="str">
        <f>"Позитивний"</f>
        <v>Позитивний</v>
      </c>
      <c r="J3062" s="1" t="str">
        <f>"Ні"</f>
        <v>Ні</v>
      </c>
    </row>
    <row r="3063" spans="1:10" ht="135" x14ac:dyDescent="0.25">
      <c r="A3063" s="1" t="str">
        <f>"3139-2020/27"</f>
        <v>3139-2020/27</v>
      </c>
      <c r="B3063" s="1" t="str">
        <f t="shared" si="506"/>
        <v>22.06.2020</v>
      </c>
      <c r="C3063" s="1" t="str">
        <f t="shared" si="505"/>
        <v>Закрито</v>
      </c>
      <c r="D306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63" s="1" t="str">
        <f t="shared" si="507"/>
        <v>Земельні питання</v>
      </c>
      <c r="F306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3" s="1" t="str">
        <f>"14"</f>
        <v>14</v>
      </c>
      <c r="H3063" s="1" t="str">
        <f>"Результат"</f>
        <v>Результат</v>
      </c>
      <c r="I3063" s="1" t="str">
        <f>"Мотивована відмова"</f>
        <v>Мотивована відмова</v>
      </c>
      <c r="J3063" s="1" t="str">
        <f>"Ні"</f>
        <v>Ні</v>
      </c>
    </row>
    <row r="3064" spans="1:10" ht="135" x14ac:dyDescent="0.25">
      <c r="A3064" s="1" t="str">
        <f>"3136-2020/27"</f>
        <v>3136-2020/27</v>
      </c>
      <c r="B3064" s="1" t="str">
        <f t="shared" si="506"/>
        <v>22.06.2020</v>
      </c>
      <c r="C3064" s="1" t="str">
        <f t="shared" si="505"/>
        <v>Закрито</v>
      </c>
      <c r="D3064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64" s="1" t="str">
        <f t="shared" si="507"/>
        <v>Земельні питання</v>
      </c>
      <c r="F306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4" s="1" t="str">
        <f>"14"</f>
        <v>14</v>
      </c>
      <c r="H3064" s="1" t="str">
        <f>"Результат"</f>
        <v>Результат</v>
      </c>
      <c r="I3064" s="1" t="str">
        <f>"Позитивний"</f>
        <v>Позитивний</v>
      </c>
      <c r="J3064" s="1" t="str">
        <f>"Ні"</f>
        <v>Ні</v>
      </c>
    </row>
    <row r="3065" spans="1:10" ht="105" x14ac:dyDescent="0.25">
      <c r="A3065" s="1" t="str">
        <f>"3156-2020/27"</f>
        <v>3156-2020/27</v>
      </c>
      <c r="B3065" s="1" t="str">
        <f t="shared" si="506"/>
        <v>22.06.2020</v>
      </c>
      <c r="C3065" s="1" t="str">
        <f t="shared" si="505"/>
        <v>Закрито</v>
      </c>
      <c r="D30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5" s="1" t="str">
        <f t="shared" si="507"/>
        <v>Земельні питання</v>
      </c>
      <c r="F306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065" s="1" t="str">
        <f>"1"</f>
        <v>1</v>
      </c>
      <c r="H3065" s="1" t="str">
        <f>"Результат"</f>
        <v>Результат</v>
      </c>
      <c r="I3065" s="1" t="str">
        <f>"Позитивний"</f>
        <v>Позитивний</v>
      </c>
      <c r="J3065" s="1" t="str">
        <f>"Так"</f>
        <v>Так</v>
      </c>
    </row>
    <row r="3066" spans="1:10" ht="135" x14ac:dyDescent="0.25">
      <c r="A3066" s="1" t="str">
        <f>"3152-2020/27"</f>
        <v>3152-2020/27</v>
      </c>
      <c r="B3066" s="1" t="str">
        <f t="shared" si="506"/>
        <v>22.06.2020</v>
      </c>
      <c r="C3066" s="1" t="str">
        <f t="shared" si="505"/>
        <v>Закрито</v>
      </c>
      <c r="D306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6" s="1" t="str">
        <f t="shared" si="507"/>
        <v>Земельні питання</v>
      </c>
      <c r="F30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6" s="1" t="str">
        <f>"1"</f>
        <v>1</v>
      </c>
      <c r="H3066" s="1" t="str">
        <f>"Результат"</f>
        <v>Результат</v>
      </c>
      <c r="I3066" s="1" t="str">
        <f>"Позитивний"</f>
        <v>Позитивний</v>
      </c>
      <c r="J3066" s="1" t="str">
        <f>"Так"</f>
        <v>Так</v>
      </c>
    </row>
    <row r="3067" spans="1:10" ht="135" x14ac:dyDescent="0.25">
      <c r="A3067" s="1" t="str">
        <f>"3155-2020/27"</f>
        <v>3155-2020/27</v>
      </c>
      <c r="B3067" s="1" t="str">
        <f t="shared" si="506"/>
        <v>22.06.2020</v>
      </c>
      <c r="C3067" s="1" t="str">
        <f t="shared" si="505"/>
        <v>Закрито</v>
      </c>
      <c r="D306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7" s="1" t="str">
        <f t="shared" si="507"/>
        <v>Земельні питання</v>
      </c>
      <c r="F306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7" s="1" t="str">
        <f>"1"</f>
        <v>1</v>
      </c>
      <c r="H3067" s="1" t="str">
        <f>"Результат"</f>
        <v>Результат</v>
      </c>
      <c r="I3067" s="1" t="str">
        <f>"Позитивний"</f>
        <v>Позитивний</v>
      </c>
      <c r="J3067" s="1" t="str">
        <f>"Так"</f>
        <v>Так</v>
      </c>
    </row>
    <row r="3068" spans="1:10" ht="135" x14ac:dyDescent="0.25">
      <c r="A3068" s="1" t="str">
        <f>"3135-2020/27"</f>
        <v>3135-2020/27</v>
      </c>
      <c r="B3068" s="1" t="str">
        <f t="shared" si="506"/>
        <v>22.06.2020</v>
      </c>
      <c r="C3068" s="1" t="str">
        <f t="shared" si="505"/>
        <v>Закрито</v>
      </c>
      <c r="D306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68" s="1" t="str">
        <f t="shared" si="507"/>
        <v>Земельні питання</v>
      </c>
      <c r="F306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8" s="1" t="str">
        <f>"1"</f>
        <v>1</v>
      </c>
      <c r="H3068" s="1" t="str">
        <f>"Результат"</f>
        <v>Результат</v>
      </c>
      <c r="I3068" s="1" t="str">
        <f>"Позитивний"</f>
        <v>Позитивний</v>
      </c>
      <c r="J3068" s="1" t="str">
        <f>"Так"</f>
        <v>Так</v>
      </c>
    </row>
    <row r="3069" spans="1:10" ht="135" x14ac:dyDescent="0.25">
      <c r="A3069" s="1" t="str">
        <f>"3206-2020/27"</f>
        <v>3206-2020/27</v>
      </c>
      <c r="B3069" s="1" t="str">
        <f t="shared" ref="B3069:B3088" si="508">"23.06.2020"</f>
        <v>23.06.2020</v>
      </c>
      <c r="C3069" s="1" t="str">
        <f t="shared" si="505"/>
        <v>Закрито</v>
      </c>
      <c r="D3069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69" s="1" t="str">
        <f t="shared" si="507"/>
        <v>Земельні питання</v>
      </c>
      <c r="F306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69" s="1" t="str">
        <f>"3"</f>
        <v>3</v>
      </c>
      <c r="H3069" s="1" t="str">
        <f>"Результат"</f>
        <v>Результат</v>
      </c>
      <c r="I3069" s="1" t="str">
        <f>"Позитивний"</f>
        <v>Позитивний</v>
      </c>
      <c r="J3069" s="1" t="str">
        <f>"Ні"</f>
        <v>Ні</v>
      </c>
    </row>
    <row r="3070" spans="1:10" ht="135" x14ac:dyDescent="0.25">
      <c r="A3070" s="1" t="str">
        <f>"3203-2020/27"</f>
        <v>3203-2020/27</v>
      </c>
      <c r="B3070" s="1" t="str">
        <f t="shared" si="508"/>
        <v>23.06.2020</v>
      </c>
      <c r="C3070" s="1" t="str">
        <f t="shared" si="505"/>
        <v>Закрито</v>
      </c>
      <c r="D307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70" s="1" t="str">
        <f t="shared" si="507"/>
        <v>Земельні питання</v>
      </c>
      <c r="F307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70" s="1" t="str">
        <f>"1"</f>
        <v>1</v>
      </c>
      <c r="H3070" s="1" t="str">
        <f>"Результат"</f>
        <v>Результат</v>
      </c>
      <c r="I3070" s="1" t="str">
        <f>"Позитивний"</f>
        <v>Позитивний</v>
      </c>
      <c r="J3070" s="1" t="str">
        <f>"Так"</f>
        <v>Так</v>
      </c>
    </row>
    <row r="3071" spans="1:10" ht="90" x14ac:dyDescent="0.25">
      <c r="A3071" s="1" t="str">
        <f>"3197-2020/27"</f>
        <v>3197-2020/27</v>
      </c>
      <c r="B3071" s="1" t="str">
        <f t="shared" si="508"/>
        <v>23.06.2020</v>
      </c>
      <c r="C3071" s="1" t="str">
        <f t="shared" si="505"/>
        <v>Закрито</v>
      </c>
      <c r="D307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71" s="1" t="str">
        <f>"Інші послуги"</f>
        <v>Інші послуги</v>
      </c>
      <c r="F307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71" s="1" t="str">
        <f>"5"</f>
        <v>5</v>
      </c>
      <c r="H3071" s="1" t="str">
        <f>"Результат"</f>
        <v>Результат</v>
      </c>
      <c r="I3071" s="1" t="str">
        <f>"Позитивний"</f>
        <v>Позитивний</v>
      </c>
      <c r="J3071" s="1" t="str">
        <f>"Ні"</f>
        <v>Ні</v>
      </c>
    </row>
    <row r="3072" spans="1:10" ht="45" x14ac:dyDescent="0.25">
      <c r="A3072" s="1" t="str">
        <f>"3201-2020/27"</f>
        <v>3201-2020/27</v>
      </c>
      <c r="B3072" s="1" t="str">
        <f t="shared" si="508"/>
        <v>23.06.2020</v>
      </c>
      <c r="C3072" s="1" t="str">
        <f t="shared" si="505"/>
        <v>Закрито</v>
      </c>
      <c r="D3072" s="1" t="str">
        <f>"Реєстрація місця проживання особи"</f>
        <v>Реєстрація місця проживання особи</v>
      </c>
      <c r="E3072" s="1" t="str">
        <f>"Реєстрація місця проживання"</f>
        <v>Реєстрація місця проживання</v>
      </c>
      <c r="F3072" s="1" t="str">
        <f>"Відділ реєстрації Новокаховської міської ради"</f>
        <v>Відділ реєстрації Новокаховської міської ради</v>
      </c>
      <c r="G3072" s="1" t="str">
        <f>"1"</f>
        <v>1</v>
      </c>
      <c r="H3072" s="1" t="str">
        <f>"Результат"</f>
        <v>Результат</v>
      </c>
      <c r="I3072" s="1" t="str">
        <f>"Позитивний"</f>
        <v>Позитивний</v>
      </c>
      <c r="J3072" s="1" t="str">
        <f>"Так"</f>
        <v>Так</v>
      </c>
    </row>
    <row r="3073" spans="1:10" ht="90" x14ac:dyDescent="0.25">
      <c r="A3073" s="1" t="str">
        <f>"3207-2020/27"</f>
        <v>3207-2020/27</v>
      </c>
      <c r="B3073" s="1" t="str">
        <f t="shared" si="508"/>
        <v>23.06.2020</v>
      </c>
      <c r="C3073" s="1" t="str">
        <f t="shared" si="505"/>
        <v>Закрито</v>
      </c>
      <c r="D307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73" s="1" t="str">
        <f>"Інші послуги"</f>
        <v>Інші послуги</v>
      </c>
      <c r="F307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73" s="1" t="str">
        <f>"5"</f>
        <v>5</v>
      </c>
      <c r="H3073" s="1" t="str">
        <f>"Результат"</f>
        <v>Результат</v>
      </c>
      <c r="I3073" s="1" t="str">
        <f>"Позитивний"</f>
        <v>Позитивний</v>
      </c>
      <c r="J3073" s="1" t="str">
        <f>"Ні"</f>
        <v>Ні</v>
      </c>
    </row>
    <row r="3074" spans="1:10" ht="45" x14ac:dyDescent="0.25">
      <c r="A3074" s="1" t="str">
        <f>"3193-2020/27"</f>
        <v>3193-2020/27</v>
      </c>
      <c r="B3074" s="1" t="str">
        <f t="shared" si="508"/>
        <v>23.06.2020</v>
      </c>
      <c r="C3074" s="1" t="str">
        <f>"Закрито"</f>
        <v>Закрито</v>
      </c>
      <c r="D3074" s="1" t="str">
        <f>"Зняття з реєстрації місця проживання"</f>
        <v>Зняття з реєстрації місця проживання</v>
      </c>
      <c r="E3074" s="1" t="str">
        <f>"Реєстрація місця проживання"</f>
        <v>Реєстрація місця проживання</v>
      </c>
      <c r="F3074" s="1" t="str">
        <f>"Відділ реєстрації Новокаховської міської ради"</f>
        <v>Відділ реєстрації Новокаховської міської ради</v>
      </c>
      <c r="G3074" s="1" t="str">
        <f>"1"</f>
        <v>1</v>
      </c>
      <c r="H3074" s="1" t="str">
        <f>"Результат"</f>
        <v>Результат</v>
      </c>
      <c r="I3074" s="1" t="str">
        <f>"Позитивний"</f>
        <v>Позитивний</v>
      </c>
      <c r="J3074" s="1" t="str">
        <f>"Так"</f>
        <v>Так</v>
      </c>
    </row>
    <row r="3075" spans="1:10" ht="90" x14ac:dyDescent="0.25">
      <c r="A3075" s="1" t="str">
        <f>"3196-2020/27"</f>
        <v>3196-2020/27</v>
      </c>
      <c r="B3075" s="1" t="str">
        <f t="shared" si="508"/>
        <v>23.06.2020</v>
      </c>
      <c r="C3075" s="1" t="str">
        <f>"Закрито"</f>
        <v>Закрито</v>
      </c>
      <c r="D307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75" s="1" t="str">
        <f>"Інші послуги"</f>
        <v>Інші послуги</v>
      </c>
      <c r="F307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75" s="1" t="str">
        <f>"5"</f>
        <v>5</v>
      </c>
      <c r="H3075" s="1" t="str">
        <f>"Результат"</f>
        <v>Результат</v>
      </c>
      <c r="I3075" s="1" t="str">
        <f>"Позитивний"</f>
        <v>Позитивний</v>
      </c>
      <c r="J3075" s="1" t="str">
        <f>"Ні"</f>
        <v>Ні</v>
      </c>
    </row>
    <row r="3076" spans="1:10" ht="135" x14ac:dyDescent="0.25">
      <c r="A3076" s="1" t="str">
        <f>"3202-2020/27"</f>
        <v>3202-2020/27</v>
      </c>
      <c r="B3076" s="1" t="str">
        <f t="shared" si="508"/>
        <v>23.06.2020</v>
      </c>
      <c r="C3076" s="1" t="str">
        <f>"Закрито"</f>
        <v>Закрито</v>
      </c>
      <c r="D3076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076" s="1" t="str">
        <f>"Земельні питання"</f>
        <v>Земельні питання</v>
      </c>
      <c r="F307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76" s="1" t="str">
        <f>"14"</f>
        <v>14</v>
      </c>
      <c r="H3076" s="1" t="str">
        <f>"Результат"</f>
        <v>Результат</v>
      </c>
      <c r="I3076" s="1" t="str">
        <f>"Позитивний"</f>
        <v>Позитивний</v>
      </c>
      <c r="J3076" s="1" t="str">
        <f>"Ні"</f>
        <v>Ні</v>
      </c>
    </row>
    <row r="3077" spans="1:10" ht="45" x14ac:dyDescent="0.25">
      <c r="A3077" s="1" t="str">
        <f>"3208-2020/27"</f>
        <v>3208-2020/27</v>
      </c>
      <c r="B3077" s="1" t="str">
        <f t="shared" si="508"/>
        <v>23.06.2020</v>
      </c>
      <c r="C3077" s="1" t="str">
        <f>"Закрито"</f>
        <v>Закрито</v>
      </c>
      <c r="D3077" s="1" t="str">
        <f>"Реєстрація місця проживання особи"</f>
        <v>Реєстрація місця проживання особи</v>
      </c>
      <c r="E3077" s="1" t="str">
        <f>"Реєстрація місця проживання"</f>
        <v>Реєстрація місця проживання</v>
      </c>
      <c r="F3077" s="1" t="str">
        <f>"Відділ реєстрації Новокаховської міської ради"</f>
        <v>Відділ реєстрації Новокаховської міської ради</v>
      </c>
      <c r="G3077" s="1" t="str">
        <f>"1"</f>
        <v>1</v>
      </c>
      <c r="H3077" s="1" t="str">
        <f>"Результат"</f>
        <v>Результат</v>
      </c>
      <c r="I3077" s="1" t="str">
        <f>"Позитивний"</f>
        <v>Позитивний</v>
      </c>
      <c r="J3077" s="1" t="str">
        <f>"Так"</f>
        <v>Так</v>
      </c>
    </row>
    <row r="3078" spans="1:10" ht="195" x14ac:dyDescent="0.25">
      <c r="A3078" s="1" t="str">
        <f>"3199-2020/27"</f>
        <v>3199-2020/27</v>
      </c>
      <c r="B3078" s="1" t="str">
        <f t="shared" si="508"/>
        <v>23.06.2020</v>
      </c>
      <c r="C3078" s="1" t="str">
        <f>"На обробці в адмін. органі"</f>
        <v>На обробці в адмін. органі</v>
      </c>
      <c r="D3078" s="1" t="s">
        <v>13</v>
      </c>
      <c r="E3078" s="1" t="str">
        <f>"Державна реєстрація громадських об’єднань"</f>
        <v>Державна реєстрація громадських об’єднань</v>
      </c>
      <c r="F3078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3078" s="1" t="str">
        <f>"15"</f>
        <v>15</v>
      </c>
      <c r="H3078" s="1" t="str">
        <f>""</f>
        <v/>
      </c>
      <c r="I3078" s="1" t="str">
        <f>""</f>
        <v/>
      </c>
      <c r="J3078" s="1" t="str">
        <f>"Ні"</f>
        <v>Ні</v>
      </c>
    </row>
    <row r="3079" spans="1:10" ht="45" x14ac:dyDescent="0.25">
      <c r="A3079" s="1" t="str">
        <f>"3190-2020/27"</f>
        <v>3190-2020/27</v>
      </c>
      <c r="B3079" s="1" t="str">
        <f t="shared" si="508"/>
        <v>23.06.2020</v>
      </c>
      <c r="C3079" s="1" t="str">
        <f t="shared" ref="C3079:C3092" si="509">"Закрито"</f>
        <v>Закрито</v>
      </c>
      <c r="D3079" s="1" t="str">
        <f>"Реєстрація місця проживання особи"</f>
        <v>Реєстрація місця проживання особи</v>
      </c>
      <c r="E3079" s="1" t="str">
        <f>"Реєстрація місця проживання"</f>
        <v>Реєстрація місця проживання</v>
      </c>
      <c r="F3079" s="1" t="str">
        <f>"Відділ реєстрації Новокаховської міської ради"</f>
        <v>Відділ реєстрації Новокаховської міської ради</v>
      </c>
      <c r="G3079" s="1" t="str">
        <f>"1"</f>
        <v>1</v>
      </c>
      <c r="H3079" s="1" t="str">
        <f>"Результат"</f>
        <v>Результат</v>
      </c>
      <c r="I3079" s="1" t="str">
        <f>"Позитивний"</f>
        <v>Позитивний</v>
      </c>
      <c r="J3079" s="1" t="str">
        <f>"Так"</f>
        <v>Так</v>
      </c>
    </row>
    <row r="3080" spans="1:10" ht="45" x14ac:dyDescent="0.25">
      <c r="A3080" s="1" t="str">
        <f>"3195-2020/27"</f>
        <v>3195-2020/27</v>
      </c>
      <c r="B3080" s="1" t="str">
        <f t="shared" si="508"/>
        <v>23.06.2020</v>
      </c>
      <c r="C3080" s="1" t="str">
        <f t="shared" si="509"/>
        <v>Закрито</v>
      </c>
      <c r="D3080" s="1" t="str">
        <f>"Реєстрація місця проживання особи"</f>
        <v>Реєстрація місця проживання особи</v>
      </c>
      <c r="E3080" s="1" t="str">
        <f>"Реєстрація місця проживання"</f>
        <v>Реєстрація місця проживання</v>
      </c>
      <c r="F3080" s="1" t="str">
        <f>"Відділ реєстрації Новокаховської міської ради"</f>
        <v>Відділ реєстрації Новокаховської міської ради</v>
      </c>
      <c r="G3080" s="1" t="str">
        <f>"1"</f>
        <v>1</v>
      </c>
      <c r="H3080" s="1" t="str">
        <f>"Результат"</f>
        <v>Результат</v>
      </c>
      <c r="I3080" s="1" t="str">
        <f>"Позитивний"</f>
        <v>Позитивний</v>
      </c>
      <c r="J3080" s="1" t="str">
        <f>"Так"</f>
        <v>Так</v>
      </c>
    </row>
    <row r="3081" spans="1:10" ht="90" x14ac:dyDescent="0.25">
      <c r="A3081" s="1" t="str">
        <f>"3192-2020/27"</f>
        <v>3192-2020/27</v>
      </c>
      <c r="B3081" s="1" t="str">
        <f t="shared" si="508"/>
        <v>23.06.2020</v>
      </c>
      <c r="C3081" s="1" t="str">
        <f t="shared" si="509"/>
        <v>Закрито</v>
      </c>
      <c r="D308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81" s="1" t="str">
        <f>"Інші послуги"</f>
        <v>Інші послуги</v>
      </c>
      <c r="F308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81" s="1" t="str">
        <f>"5"</f>
        <v>5</v>
      </c>
      <c r="H3081" s="1" t="str">
        <f>"Результат"</f>
        <v>Результат</v>
      </c>
      <c r="I3081" s="1" t="str">
        <f>"Позитивний"</f>
        <v>Позитивний</v>
      </c>
      <c r="J3081" s="1" t="str">
        <f>"Ні"</f>
        <v>Ні</v>
      </c>
    </row>
    <row r="3082" spans="1:10" ht="90" x14ac:dyDescent="0.25">
      <c r="A3082" s="1" t="str">
        <f>"3198-2020/27"</f>
        <v>3198-2020/27</v>
      </c>
      <c r="B3082" s="1" t="str">
        <f t="shared" si="508"/>
        <v>23.06.2020</v>
      </c>
      <c r="C3082" s="1" t="str">
        <f t="shared" si="509"/>
        <v>Закрито</v>
      </c>
      <c r="D308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82" s="1" t="str">
        <f>"Інші послуги"</f>
        <v>Інші послуги</v>
      </c>
      <c r="F308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82" s="1" t="str">
        <f>"5"</f>
        <v>5</v>
      </c>
      <c r="H3082" s="1" t="str">
        <f>"Результат"</f>
        <v>Результат</v>
      </c>
      <c r="I3082" s="1" t="str">
        <f>"Позитивний"</f>
        <v>Позитивний</v>
      </c>
      <c r="J3082" s="1" t="str">
        <f>"Ні"</f>
        <v>Ні</v>
      </c>
    </row>
    <row r="3083" spans="1:10" ht="45" x14ac:dyDescent="0.25">
      <c r="A3083" s="1" t="str">
        <f>"3194-2020/27"</f>
        <v>3194-2020/27</v>
      </c>
      <c r="B3083" s="1" t="str">
        <f t="shared" si="508"/>
        <v>23.06.2020</v>
      </c>
      <c r="C3083" s="1" t="str">
        <f t="shared" si="509"/>
        <v>Закрито</v>
      </c>
      <c r="D3083" s="1" t="str">
        <f>"Реєстрація місця проживання особи"</f>
        <v>Реєстрація місця проживання особи</v>
      </c>
      <c r="E3083" s="1" t="str">
        <f>"Реєстрація місця проживання"</f>
        <v>Реєстрація місця проживання</v>
      </c>
      <c r="F3083" s="1" t="str">
        <f>"Відділ реєстрації Новокаховської міської ради"</f>
        <v>Відділ реєстрації Новокаховської міської ради</v>
      </c>
      <c r="G3083" s="1" t="str">
        <f>"1"</f>
        <v>1</v>
      </c>
      <c r="H3083" s="1" t="str">
        <f>"Результат"</f>
        <v>Результат</v>
      </c>
      <c r="I3083" s="1" t="str">
        <f>"Позитивний"</f>
        <v>Позитивний</v>
      </c>
      <c r="J3083" s="1" t="str">
        <f>"Так"</f>
        <v>Так</v>
      </c>
    </row>
    <row r="3084" spans="1:10" ht="135" x14ac:dyDescent="0.25">
      <c r="A3084" s="1" t="str">
        <f>"3204-2020/27"</f>
        <v>3204-2020/27</v>
      </c>
      <c r="B3084" s="1" t="str">
        <f t="shared" si="508"/>
        <v>23.06.2020</v>
      </c>
      <c r="C3084" s="1" t="str">
        <f t="shared" si="509"/>
        <v>Закрито</v>
      </c>
      <c r="D308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84" s="1" t="str">
        <f>"Земельні питання"</f>
        <v>Земельні питання</v>
      </c>
      <c r="F308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84" s="1" t="str">
        <f>"1"</f>
        <v>1</v>
      </c>
      <c r="H3084" s="1" t="str">
        <f>"Результат"</f>
        <v>Результат</v>
      </c>
      <c r="I3084" s="1" t="str">
        <f>"Позитивний"</f>
        <v>Позитивний</v>
      </c>
      <c r="J3084" s="1" t="str">
        <f>"Так"</f>
        <v>Так</v>
      </c>
    </row>
    <row r="3085" spans="1:10" ht="135" x14ac:dyDescent="0.25">
      <c r="A3085" s="1" t="str">
        <f>"3205-2020/27"</f>
        <v>3205-2020/27</v>
      </c>
      <c r="B3085" s="1" t="str">
        <f t="shared" si="508"/>
        <v>23.06.2020</v>
      </c>
      <c r="C3085" s="1" t="str">
        <f t="shared" si="509"/>
        <v>Закрито</v>
      </c>
      <c r="D3085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085" s="1" t="str">
        <f>"Земельні питання"</f>
        <v>Земельні питання</v>
      </c>
      <c r="F308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85" s="1" t="str">
        <f>"3"</f>
        <v>3</v>
      </c>
      <c r="H3085" s="1" t="str">
        <f>"Результат"</f>
        <v>Результат</v>
      </c>
      <c r="I3085" s="1" t="str">
        <f>"Позитивний"</f>
        <v>Позитивний</v>
      </c>
      <c r="J3085" s="1" t="str">
        <f>"Ні"</f>
        <v>Ні</v>
      </c>
    </row>
    <row r="3086" spans="1:10" ht="45" x14ac:dyDescent="0.25">
      <c r="A3086" s="1" t="str">
        <f>"3191-2020/27"</f>
        <v>3191-2020/27</v>
      </c>
      <c r="B3086" s="1" t="str">
        <f t="shared" si="508"/>
        <v>23.06.2020</v>
      </c>
      <c r="C3086" s="1" t="str">
        <f t="shared" si="509"/>
        <v>Закрито</v>
      </c>
      <c r="D3086" s="1" t="str">
        <f>"Реєстрація місця проживання особи"</f>
        <v>Реєстрація місця проживання особи</v>
      </c>
      <c r="E3086" s="1" t="str">
        <f>"Реєстрація місця проживання"</f>
        <v>Реєстрація місця проживання</v>
      </c>
      <c r="F3086" s="1" t="str">
        <f>"Відділ реєстрації Новокаховської міської ради"</f>
        <v>Відділ реєстрації Новокаховської міської ради</v>
      </c>
      <c r="G3086" s="1" t="str">
        <f>"1"</f>
        <v>1</v>
      </c>
      <c r="H3086" s="1" t="str">
        <f>"Результат"</f>
        <v>Результат</v>
      </c>
      <c r="I3086" s="1" t="str">
        <f>"Позитивний"</f>
        <v>Позитивний</v>
      </c>
      <c r="J3086" s="1" t="str">
        <f>"Так"</f>
        <v>Так</v>
      </c>
    </row>
    <row r="3087" spans="1:10" ht="135" x14ac:dyDescent="0.25">
      <c r="A3087" s="1" t="str">
        <f>"3209-2020/27"</f>
        <v>3209-2020/27</v>
      </c>
      <c r="B3087" s="1" t="str">
        <f t="shared" si="508"/>
        <v>23.06.2020</v>
      </c>
      <c r="C3087" s="1" t="str">
        <f t="shared" si="509"/>
        <v>Закрито</v>
      </c>
      <c r="D308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87" s="1" t="str">
        <f>"Земельні питання"</f>
        <v>Земельні питання</v>
      </c>
      <c r="F308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87" s="1" t="str">
        <f>"1"</f>
        <v>1</v>
      </c>
      <c r="H3087" s="1" t="str">
        <f>"Результат"</f>
        <v>Результат</v>
      </c>
      <c r="I3087" s="1" t="str">
        <f>"Позитивний"</f>
        <v>Позитивний</v>
      </c>
      <c r="J3087" s="1" t="str">
        <f>"Так"</f>
        <v>Так</v>
      </c>
    </row>
    <row r="3088" spans="1:10" ht="90" x14ac:dyDescent="0.25">
      <c r="A3088" s="1" t="str">
        <f>"3200-2020/27"</f>
        <v>3200-2020/27</v>
      </c>
      <c r="B3088" s="1" t="str">
        <f t="shared" si="508"/>
        <v>23.06.2020</v>
      </c>
      <c r="C3088" s="1" t="str">
        <f t="shared" si="509"/>
        <v>Закрито</v>
      </c>
      <c r="D308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88" s="1" t="str">
        <f>"Інші послуги"</f>
        <v>Інші послуги</v>
      </c>
      <c r="F308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88" s="1" t="str">
        <f>"5"</f>
        <v>5</v>
      </c>
      <c r="H3088" s="1" t="str">
        <f>"Результат"</f>
        <v>Результат</v>
      </c>
      <c r="I3088" s="1" t="str">
        <f>"Позитивний"</f>
        <v>Позитивний</v>
      </c>
      <c r="J3088" s="1" t="str">
        <f>"Ні"</f>
        <v>Ні</v>
      </c>
    </row>
    <row r="3089" spans="1:10" ht="45" x14ac:dyDescent="0.25">
      <c r="A3089" s="1" t="str">
        <f>"3230-2020/27"</f>
        <v>3230-2020/27</v>
      </c>
      <c r="B3089" s="1" t="str">
        <f t="shared" ref="B3089:B3124" si="510">"24.06.2020"</f>
        <v>24.06.2020</v>
      </c>
      <c r="C3089" s="1" t="str">
        <f t="shared" si="509"/>
        <v>Закрито</v>
      </c>
      <c r="D3089" s="1" t="str">
        <f>"Реєстрація місця проживання особи"</f>
        <v>Реєстрація місця проживання особи</v>
      </c>
      <c r="E3089" s="1" t="str">
        <f>"Реєстрація місця проживання"</f>
        <v>Реєстрація місця проживання</v>
      </c>
      <c r="F3089" s="1" t="str">
        <f>"Відділ реєстрації Новокаховської міської ради"</f>
        <v>Відділ реєстрації Новокаховської міської ради</v>
      </c>
      <c r="G3089" s="1" t="str">
        <f>"1"</f>
        <v>1</v>
      </c>
      <c r="H3089" s="1" t="str">
        <f>"Результат"</f>
        <v>Результат</v>
      </c>
      <c r="I3089" s="1" t="str">
        <f>"Позитивний"</f>
        <v>Позитивний</v>
      </c>
      <c r="J3089" s="1" t="str">
        <f>"Так"</f>
        <v>Так</v>
      </c>
    </row>
    <row r="3090" spans="1:10" ht="105" x14ac:dyDescent="0.25">
      <c r="A3090" s="1" t="str">
        <f>"3232-2020/27"</f>
        <v>3232-2020/27</v>
      </c>
      <c r="B3090" s="1" t="str">
        <f t="shared" si="510"/>
        <v>24.06.2020</v>
      </c>
      <c r="C3090" s="1" t="str">
        <f t="shared" si="509"/>
        <v>Закрито</v>
      </c>
      <c r="D309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90" s="1" t="str">
        <f>"Земельні питання"</f>
        <v>Земельні питання</v>
      </c>
      <c r="F3090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090" s="1" t="str">
        <f>"1"</f>
        <v>1</v>
      </c>
      <c r="H3090" s="1" t="str">
        <f>"Результат"</f>
        <v>Результат</v>
      </c>
      <c r="I3090" s="1" t="str">
        <f>"Позитивний"</f>
        <v>Позитивний</v>
      </c>
      <c r="J3090" s="1" t="str">
        <f>"Так"</f>
        <v>Так</v>
      </c>
    </row>
    <row r="3091" spans="1:10" ht="45" x14ac:dyDescent="0.25">
      <c r="A3091" s="1" t="str">
        <f>"3214-2020/27"</f>
        <v>3214-2020/27</v>
      </c>
      <c r="B3091" s="1" t="str">
        <f t="shared" si="510"/>
        <v>24.06.2020</v>
      </c>
      <c r="C3091" s="1" t="str">
        <f t="shared" si="509"/>
        <v>Закрито</v>
      </c>
      <c r="D3091" s="1" t="str">
        <f>"Реєстрація місця проживання особи"</f>
        <v>Реєстрація місця проживання особи</v>
      </c>
      <c r="E3091" s="1" t="str">
        <f>"Реєстрація місця проживання"</f>
        <v>Реєстрація місця проживання</v>
      </c>
      <c r="F3091" s="1" t="str">
        <f>"Відділ реєстрації Новокаховської міської ради"</f>
        <v>Відділ реєстрації Новокаховської міської ради</v>
      </c>
      <c r="G3091" s="1" t="str">
        <f>"1"</f>
        <v>1</v>
      </c>
      <c r="H3091" s="1" t="str">
        <f>"Результат"</f>
        <v>Результат</v>
      </c>
      <c r="I3091" s="1" t="str">
        <f>"Позитивний"</f>
        <v>Позитивний</v>
      </c>
      <c r="J3091" s="1" t="str">
        <f>"Так"</f>
        <v>Так</v>
      </c>
    </row>
    <row r="3092" spans="1:10" ht="135" x14ac:dyDescent="0.25">
      <c r="A3092" s="1" t="str">
        <f>"3245-2020/27"</f>
        <v>3245-2020/27</v>
      </c>
      <c r="B3092" s="1" t="str">
        <f t="shared" si="510"/>
        <v>24.06.2020</v>
      </c>
      <c r="C3092" s="1" t="str">
        <f t="shared" si="509"/>
        <v>Закрито</v>
      </c>
      <c r="D309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92" s="1" t="str">
        <f>"Земельні питання"</f>
        <v>Земельні питання</v>
      </c>
      <c r="F30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92" s="1" t="str">
        <f>"1"</f>
        <v>1</v>
      </c>
      <c r="H3092" s="1" t="str">
        <f>"Результат"</f>
        <v>Результат</v>
      </c>
      <c r="I3092" s="1" t="str">
        <f>"Позитивний"</f>
        <v>Позитивний</v>
      </c>
      <c r="J3092" s="1" t="str">
        <f>"Так"</f>
        <v>Так</v>
      </c>
    </row>
    <row r="3093" spans="1:10" ht="120" x14ac:dyDescent="0.25">
      <c r="A3093" s="1" t="str">
        <f>"3242-2020/27"</f>
        <v>3242-2020/27</v>
      </c>
      <c r="B3093" s="1" t="str">
        <f t="shared" si="510"/>
        <v>24.06.2020</v>
      </c>
      <c r="C3093" s="1" t="str">
        <f>"На обробці в адмін. органі"</f>
        <v>На обробці в адмін. органі</v>
      </c>
      <c r="D3093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093" s="1" t="str">
        <f>"Будівництво"</f>
        <v>Будівництво</v>
      </c>
      <c r="F3093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093" s="1" t="str">
        <f>"10"</f>
        <v>10</v>
      </c>
      <c r="H3093" s="1" t="str">
        <f>""</f>
        <v/>
      </c>
      <c r="I3093" s="1" t="str">
        <f>""</f>
        <v/>
      </c>
      <c r="J3093" s="1" t="str">
        <f>"Ні"</f>
        <v>Ні</v>
      </c>
    </row>
    <row r="3094" spans="1:10" ht="45" x14ac:dyDescent="0.25">
      <c r="A3094" s="1" t="str">
        <f>"3211-2020/27"</f>
        <v>3211-2020/27</v>
      </c>
      <c r="B3094" s="1" t="str">
        <f t="shared" si="510"/>
        <v>24.06.2020</v>
      </c>
      <c r="C3094" s="1" t="str">
        <f>"Закрито"</f>
        <v>Закрито</v>
      </c>
      <c r="D3094" s="1" t="str">
        <f>"Зняття з реєстрації місця проживання"</f>
        <v>Зняття з реєстрації місця проживання</v>
      </c>
      <c r="E3094" s="1" t="str">
        <f>"Реєстрація місця проживання"</f>
        <v>Реєстрація місця проживання</v>
      </c>
      <c r="F3094" s="1" t="str">
        <f>"Відділ реєстрації Новокаховської міської ради"</f>
        <v>Відділ реєстрації Новокаховської міської ради</v>
      </c>
      <c r="G3094" s="1" t="str">
        <f>"1"</f>
        <v>1</v>
      </c>
      <c r="H3094" s="1" t="str">
        <f>"Результат"</f>
        <v>Результат</v>
      </c>
      <c r="I3094" s="1" t="str">
        <f>"Позитивний"</f>
        <v>Позитивний</v>
      </c>
      <c r="J3094" s="1" t="str">
        <f>"Так"</f>
        <v>Так</v>
      </c>
    </row>
    <row r="3095" spans="1:10" ht="135" x14ac:dyDescent="0.25">
      <c r="A3095" s="1" t="str">
        <f>"3241-2020/27"</f>
        <v>3241-2020/27</v>
      </c>
      <c r="B3095" s="1" t="str">
        <f t="shared" si="510"/>
        <v>24.06.2020</v>
      </c>
      <c r="C3095" s="1" t="str">
        <f>"Закрито"</f>
        <v>Закрито</v>
      </c>
      <c r="D309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095" s="1" t="str">
        <f>"Земельні питання"</f>
        <v>Земельні питання</v>
      </c>
      <c r="F30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095" s="1" t="str">
        <f>"1"</f>
        <v>1</v>
      </c>
      <c r="H3095" s="1" t="str">
        <f>"Результат"</f>
        <v>Результат</v>
      </c>
      <c r="I3095" s="1" t="str">
        <f>"Позитивний"</f>
        <v>Позитивний</v>
      </c>
      <c r="J3095" s="1" t="str">
        <f>"Так"</f>
        <v>Так</v>
      </c>
    </row>
    <row r="3096" spans="1:10" ht="75" x14ac:dyDescent="0.25">
      <c r="A3096" s="1" t="str">
        <f>"3220-2020/27"</f>
        <v>3220-2020/27</v>
      </c>
      <c r="B3096" s="1" t="str">
        <f t="shared" si="510"/>
        <v>24.06.2020</v>
      </c>
      <c r="C3096" s="1" t="str">
        <f>"На обробці в адмін. органі"</f>
        <v>На обробці в адмін. органі</v>
      </c>
      <c r="D3096" s="1" t="str">
        <f>"Переоформлення дозволу на розміщення зовнішньої реклами"</f>
        <v>Переоформлення дозволу на розміщення зовнішньої реклами</v>
      </c>
      <c r="E3096" s="1" t="str">
        <f>"Зовнішня реклама"</f>
        <v>Зовнішня реклама</v>
      </c>
      <c r="F3096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3096" s="1" t="str">
        <f>"30"</f>
        <v>30</v>
      </c>
      <c r="H3096" s="1" t="str">
        <f>""</f>
        <v/>
      </c>
      <c r="I3096" s="1" t="str">
        <f>""</f>
        <v/>
      </c>
      <c r="J3096" s="1" t="str">
        <f>"Ні"</f>
        <v>Ні</v>
      </c>
    </row>
    <row r="3097" spans="1:10" ht="45" x14ac:dyDescent="0.25">
      <c r="A3097" s="1" t="str">
        <f>"3227-2020/27"</f>
        <v>3227-2020/27</v>
      </c>
      <c r="B3097" s="1" t="str">
        <f t="shared" si="510"/>
        <v>24.06.2020</v>
      </c>
      <c r="C3097" s="1" t="str">
        <f t="shared" ref="C3097:C3103" si="511">"Закрито"</f>
        <v>Закрито</v>
      </c>
      <c r="D3097" s="1" t="str">
        <f>"Реєстрація місця проживання особи"</f>
        <v>Реєстрація місця проживання особи</v>
      </c>
      <c r="E3097" s="1" t="str">
        <f>"Реєстрація місця проживання"</f>
        <v>Реєстрація місця проживання</v>
      </c>
      <c r="F3097" s="1" t="str">
        <f>"Відділ реєстрації Новокаховської міської ради"</f>
        <v>Відділ реєстрації Новокаховської міської ради</v>
      </c>
      <c r="G3097" s="1" t="str">
        <f>"1"</f>
        <v>1</v>
      </c>
      <c r="H3097" s="1" t="str">
        <f>"Результат"</f>
        <v>Результат</v>
      </c>
      <c r="I3097" s="1" t="str">
        <f>"Позитивний"</f>
        <v>Позитивний</v>
      </c>
      <c r="J3097" s="1" t="str">
        <f>"Так"</f>
        <v>Так</v>
      </c>
    </row>
    <row r="3098" spans="1:10" ht="90" x14ac:dyDescent="0.25">
      <c r="A3098" s="1" t="str">
        <f>"3221-2020/27"</f>
        <v>3221-2020/27</v>
      </c>
      <c r="B3098" s="1" t="str">
        <f t="shared" si="510"/>
        <v>24.06.2020</v>
      </c>
      <c r="C3098" s="1" t="str">
        <f t="shared" si="511"/>
        <v>Закрито</v>
      </c>
      <c r="D309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098" s="1" t="str">
        <f>"Інші послуги"</f>
        <v>Інші послуги</v>
      </c>
      <c r="F309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098" s="1" t="str">
        <f>"5"</f>
        <v>5</v>
      </c>
      <c r="H3098" s="1" t="str">
        <f>"Результат"</f>
        <v>Результат</v>
      </c>
      <c r="I3098" s="1" t="str">
        <f>"Позитивний"</f>
        <v>Позитивний</v>
      </c>
      <c r="J3098" s="1" t="str">
        <f>"Ні"</f>
        <v>Ні</v>
      </c>
    </row>
    <row r="3099" spans="1:10" ht="45" x14ac:dyDescent="0.25">
      <c r="A3099" s="1" t="str">
        <f>"3228-2020/27"</f>
        <v>3228-2020/27</v>
      </c>
      <c r="B3099" s="1" t="str">
        <f t="shared" si="510"/>
        <v>24.06.2020</v>
      </c>
      <c r="C3099" s="1" t="str">
        <f t="shared" si="511"/>
        <v>Закрито</v>
      </c>
      <c r="D3099" s="1" t="str">
        <f>"Реєстрація місця проживання особи"</f>
        <v>Реєстрація місця проживання особи</v>
      </c>
      <c r="E3099" s="1" t="str">
        <f>"Реєстрація місця проживання"</f>
        <v>Реєстрація місця проживання</v>
      </c>
      <c r="F3099" s="1" t="str">
        <f>"Відділ реєстрації Новокаховської міської ради"</f>
        <v>Відділ реєстрації Новокаховської міської ради</v>
      </c>
      <c r="G3099" s="1" t="str">
        <f>"1"</f>
        <v>1</v>
      </c>
      <c r="H3099" s="1" t="str">
        <f>"Результат"</f>
        <v>Результат</v>
      </c>
      <c r="I3099" s="1" t="str">
        <f>"Позитивний"</f>
        <v>Позитивний</v>
      </c>
      <c r="J3099" s="1" t="str">
        <f>"Так"</f>
        <v>Так</v>
      </c>
    </row>
    <row r="3100" spans="1:10" ht="120" x14ac:dyDescent="0.25">
      <c r="A3100" s="1" t="str">
        <f>"3243-2020/27"</f>
        <v>3243-2020/27</v>
      </c>
      <c r="B3100" s="1" t="str">
        <f t="shared" si="510"/>
        <v>24.06.2020</v>
      </c>
      <c r="C3100" s="1" t="str">
        <f t="shared" si="511"/>
        <v>Закрито</v>
      </c>
      <c r="D3100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100" s="1" t="str">
        <f>"Будівництво"</f>
        <v>Будівництво</v>
      </c>
      <c r="F310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100" s="1" t="str">
        <f>"10"</f>
        <v>10</v>
      </c>
      <c r="H3100" s="1" t="str">
        <f>"Результат"</f>
        <v>Результат</v>
      </c>
      <c r="I3100" s="1" t="str">
        <f>"Позитивний"</f>
        <v>Позитивний</v>
      </c>
      <c r="J3100" s="1" t="str">
        <f>"Ні"</f>
        <v>Ні</v>
      </c>
    </row>
    <row r="3101" spans="1:10" ht="75" x14ac:dyDescent="0.25">
      <c r="A3101" s="1" t="str">
        <f>"3216-2020/27"</f>
        <v>3216-2020/27</v>
      </c>
      <c r="B3101" s="1" t="str">
        <f t="shared" si="510"/>
        <v>24.06.2020</v>
      </c>
      <c r="C3101" s="1" t="str">
        <f t="shared" si="511"/>
        <v>Закрито</v>
      </c>
      <c r="D3101" s="1" t="str">
        <f>"Видача дубліката дозволу на розміщення зовнішньої реклами"</f>
        <v>Видача дубліката дозволу на розміщення зовнішньої реклами</v>
      </c>
      <c r="E3101" s="1" t="str">
        <f>"Зовнішня реклама"</f>
        <v>Зовнішня реклама</v>
      </c>
      <c r="F3101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3101" s="1" t="str">
        <f>"2"</f>
        <v>2</v>
      </c>
      <c r="H3101" s="1" t="str">
        <f>"Результат"</f>
        <v>Результат</v>
      </c>
      <c r="I3101" s="1" t="str">
        <f>"Позитивний"</f>
        <v>Позитивний</v>
      </c>
      <c r="J3101" s="1" t="str">
        <f>"Ні"</f>
        <v>Ні</v>
      </c>
    </row>
    <row r="3102" spans="1:10" ht="135" x14ac:dyDescent="0.25">
      <c r="A3102" s="1" t="str">
        <f>"3240-2020/27"</f>
        <v>3240-2020/27</v>
      </c>
      <c r="B3102" s="1" t="str">
        <f t="shared" si="510"/>
        <v>24.06.2020</v>
      </c>
      <c r="C3102" s="1" t="str">
        <f t="shared" si="511"/>
        <v>Закрито</v>
      </c>
      <c r="D310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02" s="1" t="str">
        <f>"Земельні питання"</f>
        <v>Земельні питання</v>
      </c>
      <c r="F310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02" s="1" t="str">
        <f>"1"</f>
        <v>1</v>
      </c>
      <c r="H3102" s="1" t="str">
        <f>"Результат"</f>
        <v>Результат</v>
      </c>
      <c r="I3102" s="1" t="str">
        <f>"Позитивний"</f>
        <v>Позитивний</v>
      </c>
      <c r="J3102" s="1" t="str">
        <f>"Так"</f>
        <v>Так</v>
      </c>
    </row>
    <row r="3103" spans="1:10" ht="135" x14ac:dyDescent="0.25">
      <c r="A3103" s="1" t="str">
        <f>"3237-2020/27"</f>
        <v>3237-2020/27</v>
      </c>
      <c r="B3103" s="1" t="str">
        <f t="shared" si="510"/>
        <v>24.06.2020</v>
      </c>
      <c r="C3103" s="1" t="str">
        <f t="shared" si="511"/>
        <v>Закрито</v>
      </c>
      <c r="D310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03" s="1" t="str">
        <f>"Земельні питання"</f>
        <v>Земельні питання</v>
      </c>
      <c r="F31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03" s="1" t="str">
        <f>"1"</f>
        <v>1</v>
      </c>
      <c r="H3103" s="1" t="str">
        <f>"Результат"</f>
        <v>Результат</v>
      </c>
      <c r="I3103" s="1" t="str">
        <f>"Позитивний"</f>
        <v>Позитивний</v>
      </c>
      <c r="J3103" s="1" t="str">
        <f>"Так"</f>
        <v>Так</v>
      </c>
    </row>
    <row r="3104" spans="1:10" ht="75" x14ac:dyDescent="0.25">
      <c r="A3104" s="1" t="str">
        <f>"3217-2020/27"</f>
        <v>3217-2020/27</v>
      </c>
      <c r="B3104" s="1" t="str">
        <f t="shared" si="510"/>
        <v>24.06.2020</v>
      </c>
      <c r="C3104" s="1" t="str">
        <f>"На обробці в адмін. органі"</f>
        <v>На обробці в адмін. органі</v>
      </c>
      <c r="D3104" s="1" t="str">
        <f>"Видача дозволу на розміщення зовнішньої реклами"</f>
        <v>Видача дозволу на розміщення зовнішньої реклами</v>
      </c>
      <c r="E3104" s="1" t="str">
        <f>"Зовнішня реклама"</f>
        <v>Зовнішня реклама</v>
      </c>
      <c r="F3104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3104" s="1" t="str">
        <f>"30"</f>
        <v>30</v>
      </c>
      <c r="H3104" s="1" t="str">
        <f>""</f>
        <v/>
      </c>
      <c r="I3104" s="1" t="str">
        <f>""</f>
        <v/>
      </c>
      <c r="J3104" s="1" t="str">
        <f>"Ні"</f>
        <v>Ні</v>
      </c>
    </row>
    <row r="3105" spans="1:10" ht="90" x14ac:dyDescent="0.25">
      <c r="A3105" s="1" t="str">
        <f>"3235-2020/27"</f>
        <v>3235-2020/27</v>
      </c>
      <c r="B3105" s="1" t="str">
        <f t="shared" si="510"/>
        <v>24.06.2020</v>
      </c>
      <c r="C3105" s="1" t="str">
        <f t="shared" ref="C3105:C3115" si="512">"Закрито"</f>
        <v>Закрито</v>
      </c>
      <c r="D310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05" s="1" t="str">
        <f>"Інші послуги"</f>
        <v>Інші послуги</v>
      </c>
      <c r="F310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05" s="1" t="str">
        <f>"5"</f>
        <v>5</v>
      </c>
      <c r="H3105" s="1" t="str">
        <f>"Результат"</f>
        <v>Результат</v>
      </c>
      <c r="I3105" s="1" t="str">
        <f>"Позитивний"</f>
        <v>Позитивний</v>
      </c>
      <c r="J3105" s="1" t="str">
        <f>"Ні"</f>
        <v>Ні</v>
      </c>
    </row>
    <row r="3106" spans="1:10" ht="120" x14ac:dyDescent="0.25">
      <c r="A3106" s="1" t="str">
        <f>"3234-2020/27"</f>
        <v>3234-2020/27</v>
      </c>
      <c r="B3106" s="1" t="str">
        <f t="shared" si="510"/>
        <v>24.06.2020</v>
      </c>
      <c r="C3106" s="1" t="str">
        <f t="shared" si="512"/>
        <v>Закрито</v>
      </c>
      <c r="D3106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106" s="1" t="str">
        <f>"Будівництво"</f>
        <v>Будівництво</v>
      </c>
      <c r="F3106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106" s="1" t="str">
        <f>"10"</f>
        <v>10</v>
      </c>
      <c r="H3106" s="1" t="str">
        <f>"Результат"</f>
        <v>Результат</v>
      </c>
      <c r="I3106" s="1" t="str">
        <f>"Позитивний"</f>
        <v>Позитивний</v>
      </c>
      <c r="J3106" s="1" t="str">
        <f>"Ні"</f>
        <v>Ні</v>
      </c>
    </row>
    <row r="3107" spans="1:10" ht="45" x14ac:dyDescent="0.25">
      <c r="A3107" s="1" t="str">
        <f>"3212-2020/27"</f>
        <v>3212-2020/27</v>
      </c>
      <c r="B3107" s="1" t="str">
        <f t="shared" si="510"/>
        <v>24.06.2020</v>
      </c>
      <c r="C3107" s="1" t="str">
        <f t="shared" si="512"/>
        <v>Закрито</v>
      </c>
      <c r="D3107" s="1" t="str">
        <f>"Реєстрація місця проживання особи"</f>
        <v>Реєстрація місця проживання особи</v>
      </c>
      <c r="E3107" s="1" t="str">
        <f>"Реєстрація місця проживання"</f>
        <v>Реєстрація місця проживання</v>
      </c>
      <c r="F3107" s="1" t="str">
        <f>"Відділ реєстрації Новокаховської міської ради"</f>
        <v>Відділ реєстрації Новокаховської міської ради</v>
      </c>
      <c r="G3107" s="1" t="str">
        <f>"1"</f>
        <v>1</v>
      </c>
      <c r="H3107" s="1" t="str">
        <f>"Результат"</f>
        <v>Результат</v>
      </c>
      <c r="I3107" s="1" t="str">
        <f>"Позитивний"</f>
        <v>Позитивний</v>
      </c>
      <c r="J3107" s="1" t="str">
        <f>"Так"</f>
        <v>Так</v>
      </c>
    </row>
    <row r="3108" spans="1:10" ht="45" x14ac:dyDescent="0.25">
      <c r="A3108" s="1" t="str">
        <f>"3223-2020/27"</f>
        <v>3223-2020/27</v>
      </c>
      <c r="B3108" s="1" t="str">
        <f t="shared" si="510"/>
        <v>24.06.2020</v>
      </c>
      <c r="C3108" s="1" t="str">
        <f t="shared" si="512"/>
        <v>Закрито</v>
      </c>
      <c r="D3108" s="1" t="str">
        <f>"Реєстрація місця проживання особи"</f>
        <v>Реєстрація місця проживання особи</v>
      </c>
      <c r="E3108" s="1" t="str">
        <f>"Реєстрація місця проживання"</f>
        <v>Реєстрація місця проживання</v>
      </c>
      <c r="F3108" s="1" t="str">
        <f>"Відділ реєстрації Новокаховської міської ради"</f>
        <v>Відділ реєстрації Новокаховської міської ради</v>
      </c>
      <c r="G3108" s="1" t="str">
        <f>"1"</f>
        <v>1</v>
      </c>
      <c r="H3108" s="1" t="str">
        <f>"Результат"</f>
        <v>Результат</v>
      </c>
      <c r="I3108" s="1" t="str">
        <f>"Позитивний"</f>
        <v>Позитивний</v>
      </c>
      <c r="J3108" s="1" t="str">
        <f>"Так"</f>
        <v>Так</v>
      </c>
    </row>
    <row r="3109" spans="1:10" ht="135" x14ac:dyDescent="0.25">
      <c r="A3109" s="1" t="str">
        <f>"3239-2020/27"</f>
        <v>3239-2020/27</v>
      </c>
      <c r="B3109" s="1" t="str">
        <f t="shared" si="510"/>
        <v>24.06.2020</v>
      </c>
      <c r="C3109" s="1" t="str">
        <f t="shared" si="512"/>
        <v>Закрито</v>
      </c>
      <c r="D310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09" s="1" t="str">
        <f>"Земельні питання"</f>
        <v>Земельні питання</v>
      </c>
      <c r="F310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09" s="1" t="str">
        <f>"1"</f>
        <v>1</v>
      </c>
      <c r="H3109" s="1" t="str">
        <f>"Результат"</f>
        <v>Результат</v>
      </c>
      <c r="I3109" s="1" t="str">
        <f>"Позитивний"</f>
        <v>Позитивний</v>
      </c>
      <c r="J3109" s="1" t="str">
        <f>"Так"</f>
        <v>Так</v>
      </c>
    </row>
    <row r="3110" spans="1:10" ht="45" x14ac:dyDescent="0.25">
      <c r="A3110" s="1" t="str">
        <f>"3222-2020/27"</f>
        <v>3222-2020/27</v>
      </c>
      <c r="B3110" s="1" t="str">
        <f t="shared" si="510"/>
        <v>24.06.2020</v>
      </c>
      <c r="C3110" s="1" t="str">
        <f t="shared" si="512"/>
        <v>Закрито</v>
      </c>
      <c r="D3110" s="1" t="str">
        <f>"Реєстрація місця проживання особи"</f>
        <v>Реєстрація місця проживання особи</v>
      </c>
      <c r="E3110" s="1" t="str">
        <f>"Реєстрація місця проживання"</f>
        <v>Реєстрація місця проживання</v>
      </c>
      <c r="F3110" s="1" t="str">
        <f>"Відділ реєстрації Новокаховської міської ради"</f>
        <v>Відділ реєстрації Новокаховської міської ради</v>
      </c>
      <c r="G3110" s="1" t="str">
        <f>"1"</f>
        <v>1</v>
      </c>
      <c r="H3110" s="1" t="str">
        <f>"Результат"</f>
        <v>Результат</v>
      </c>
      <c r="I3110" s="1" t="str">
        <f>"Позитивний"</f>
        <v>Позитивний</v>
      </c>
      <c r="J3110" s="1" t="str">
        <f>"Так"</f>
        <v>Так</v>
      </c>
    </row>
    <row r="3111" spans="1:10" ht="120" x14ac:dyDescent="0.25">
      <c r="A3111" s="1" t="str">
        <f>"3233-2020/27"</f>
        <v>3233-2020/27</v>
      </c>
      <c r="B3111" s="1" t="str">
        <f t="shared" si="510"/>
        <v>24.06.2020</v>
      </c>
      <c r="C3111" s="1" t="str">
        <f t="shared" si="512"/>
        <v>Закрито</v>
      </c>
      <c r="D3111" s="1" t="str">
        <f>"Реєстрація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(СС1)"</f>
        <v>Реєстрація декларації про готовність до експлуатації об’єкта, що за класом наслідків (відповідальності) належить до об’єктів з незначними наслідками (СС1)</v>
      </c>
      <c r="E3111" s="1" t="str">
        <f>"Будівництво"</f>
        <v>Будівництво</v>
      </c>
      <c r="F3111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111" s="1" t="str">
        <f>"10"</f>
        <v>10</v>
      </c>
      <c r="H3111" s="1" t="str">
        <f>"Результат"</f>
        <v>Результат</v>
      </c>
      <c r="I3111" s="1" t="str">
        <f>"Позитивний"</f>
        <v>Позитивний</v>
      </c>
      <c r="J3111" s="1" t="str">
        <f>"Ні"</f>
        <v>Ні</v>
      </c>
    </row>
    <row r="3112" spans="1:10" ht="105" x14ac:dyDescent="0.25">
      <c r="A3112" s="1" t="str">
        <f>"3244-2020/27"</f>
        <v>3244-2020/27</v>
      </c>
      <c r="B3112" s="1" t="str">
        <f t="shared" si="510"/>
        <v>24.06.2020</v>
      </c>
      <c r="C3112" s="1" t="str">
        <f t="shared" si="512"/>
        <v>Закрито</v>
      </c>
      <c r="D311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12" s="1" t="str">
        <f>"Земельні питання"</f>
        <v>Земельні питання</v>
      </c>
      <c r="F3112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112" s="1" t="str">
        <f>"1"</f>
        <v>1</v>
      </c>
      <c r="H3112" s="1" t="str">
        <f>"Результат"</f>
        <v>Результат</v>
      </c>
      <c r="I3112" s="1" t="str">
        <f>"Позитивний"</f>
        <v>Позитивний</v>
      </c>
      <c r="J3112" s="1" t="str">
        <f>"Так"</f>
        <v>Так</v>
      </c>
    </row>
    <row r="3113" spans="1:10" ht="90" x14ac:dyDescent="0.25">
      <c r="A3113" s="1" t="str">
        <f>"3213-2020/27"</f>
        <v>3213-2020/27</v>
      </c>
      <c r="B3113" s="1" t="str">
        <f t="shared" si="510"/>
        <v>24.06.2020</v>
      </c>
      <c r="C3113" s="1" t="str">
        <f t="shared" si="512"/>
        <v>Закрито</v>
      </c>
      <c r="D311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13" s="1" t="str">
        <f>"Інші послуги"</f>
        <v>Інші послуги</v>
      </c>
      <c r="F311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13" s="1" t="str">
        <f>"5"</f>
        <v>5</v>
      </c>
      <c r="H3113" s="1" t="str">
        <f>"Результат"</f>
        <v>Результат</v>
      </c>
      <c r="I3113" s="1" t="str">
        <f>"Мотивована відмова"</f>
        <v>Мотивована відмова</v>
      </c>
      <c r="J3113" s="1" t="str">
        <f>"Ні"</f>
        <v>Ні</v>
      </c>
    </row>
    <row r="3114" spans="1:10" ht="45" x14ac:dyDescent="0.25">
      <c r="A3114" s="1" t="str">
        <f>"3225-2020/27"</f>
        <v>3225-2020/27</v>
      </c>
      <c r="B3114" s="1" t="str">
        <f t="shared" si="510"/>
        <v>24.06.2020</v>
      </c>
      <c r="C3114" s="1" t="str">
        <f t="shared" si="512"/>
        <v>Закрито</v>
      </c>
      <c r="D3114" s="1" t="str">
        <f>"Реєстрація місця проживання особи"</f>
        <v>Реєстрація місця проживання особи</v>
      </c>
      <c r="E3114" s="1" t="str">
        <f>"Реєстрація місця проживання"</f>
        <v>Реєстрація місця проживання</v>
      </c>
      <c r="F3114" s="1" t="str">
        <f>"Відділ реєстрації Новокаховської міської ради"</f>
        <v>Відділ реєстрації Новокаховської міської ради</v>
      </c>
      <c r="G3114" s="1" t="str">
        <f>"1"</f>
        <v>1</v>
      </c>
      <c r="H3114" s="1" t="str">
        <f>"Результат"</f>
        <v>Результат</v>
      </c>
      <c r="I3114" s="1" t="str">
        <f>"Позитивний"</f>
        <v>Позитивний</v>
      </c>
      <c r="J3114" s="1" t="str">
        <f>"Так"</f>
        <v>Так</v>
      </c>
    </row>
    <row r="3115" spans="1:10" ht="45" x14ac:dyDescent="0.25">
      <c r="A3115" s="1" t="str">
        <f>"3224-2020/27"</f>
        <v>3224-2020/27</v>
      </c>
      <c r="B3115" s="1" t="str">
        <f t="shared" si="510"/>
        <v>24.06.2020</v>
      </c>
      <c r="C3115" s="1" t="str">
        <f t="shared" si="512"/>
        <v>Закрито</v>
      </c>
      <c r="D3115" s="1" t="str">
        <f>"Реєстрація місця проживання особи"</f>
        <v>Реєстрація місця проживання особи</v>
      </c>
      <c r="E3115" s="1" t="str">
        <f>"Реєстрація місця проживання"</f>
        <v>Реєстрація місця проживання</v>
      </c>
      <c r="F3115" s="1" t="str">
        <f>"Відділ реєстрації Новокаховської міської ради"</f>
        <v>Відділ реєстрації Новокаховської міської ради</v>
      </c>
      <c r="G3115" s="1" t="str">
        <f>"1"</f>
        <v>1</v>
      </c>
      <c r="H3115" s="1" t="str">
        <f>"Результат"</f>
        <v>Результат</v>
      </c>
      <c r="I3115" s="1" t="str">
        <f>"Позитивний"</f>
        <v>Позитивний</v>
      </c>
      <c r="J3115" s="1" t="str">
        <f>"Так"</f>
        <v>Так</v>
      </c>
    </row>
    <row r="3116" spans="1:10" ht="75" x14ac:dyDescent="0.25">
      <c r="A3116" s="1" t="str">
        <f>"3218-2020/27"</f>
        <v>3218-2020/27</v>
      </c>
      <c r="B3116" s="1" t="str">
        <f t="shared" si="510"/>
        <v>24.06.2020</v>
      </c>
      <c r="C3116" s="1" t="str">
        <f>"На обробці в адмін. органі"</f>
        <v>На обробці в адмін. органі</v>
      </c>
      <c r="D3116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3116" s="1" t="str">
        <f>"Зовнішня реклама"</f>
        <v>Зовнішня реклама</v>
      </c>
      <c r="F3116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3116" s="1" t="str">
        <f>"30"</f>
        <v>30</v>
      </c>
      <c r="H3116" s="1" t="str">
        <f>""</f>
        <v/>
      </c>
      <c r="I3116" s="1" t="str">
        <f>""</f>
        <v/>
      </c>
      <c r="J3116" s="1" t="str">
        <f>"Ні"</f>
        <v>Ні</v>
      </c>
    </row>
    <row r="3117" spans="1:10" ht="45" x14ac:dyDescent="0.25">
      <c r="A3117" s="1" t="str">
        <f>"3215-2020/27"</f>
        <v>3215-2020/27</v>
      </c>
      <c r="B3117" s="1" t="str">
        <f t="shared" si="510"/>
        <v>24.06.2020</v>
      </c>
      <c r="C3117" s="1" t="str">
        <f>"Закрито"</f>
        <v>Закрито</v>
      </c>
      <c r="D3117" s="1" t="str">
        <f>"Реєстрація місця проживання особи"</f>
        <v>Реєстрація місця проживання особи</v>
      </c>
      <c r="E3117" s="1" t="str">
        <f>"Реєстрація місця проживання"</f>
        <v>Реєстрація місця проживання</v>
      </c>
      <c r="F3117" s="1" t="str">
        <f>"Відділ реєстрації Новокаховської міської ради"</f>
        <v>Відділ реєстрації Новокаховської міської ради</v>
      </c>
      <c r="G3117" s="1" t="str">
        <f>"1"</f>
        <v>1</v>
      </c>
      <c r="H3117" s="1" t="str">
        <f>"Результат"</f>
        <v>Результат</v>
      </c>
      <c r="I3117" s="1" t="str">
        <f>"Позитивний"</f>
        <v>Позитивний</v>
      </c>
      <c r="J3117" s="1" t="str">
        <f>"Так"</f>
        <v>Так</v>
      </c>
    </row>
    <row r="3118" spans="1:10" ht="45" x14ac:dyDescent="0.25">
      <c r="A3118" s="1" t="str">
        <f>"3226-2020/27"</f>
        <v>3226-2020/27</v>
      </c>
      <c r="B3118" s="1" t="str">
        <f t="shared" si="510"/>
        <v>24.06.2020</v>
      </c>
      <c r="C3118" s="1" t="str">
        <f>"Закрито"</f>
        <v>Закрито</v>
      </c>
      <c r="D3118" s="1" t="str">
        <f>"Реєстрація місця проживання особи"</f>
        <v>Реєстрація місця проживання особи</v>
      </c>
      <c r="E3118" s="1" t="str">
        <f>"Реєстрація місця проживання"</f>
        <v>Реєстрація місця проживання</v>
      </c>
      <c r="F3118" s="1" t="str">
        <f>"Відділ реєстрації Новокаховської міської ради"</f>
        <v>Відділ реєстрації Новокаховської міської ради</v>
      </c>
      <c r="G3118" s="1" t="str">
        <f>"1"</f>
        <v>1</v>
      </c>
      <c r="H3118" s="1" t="str">
        <f>"Результат"</f>
        <v>Результат</v>
      </c>
      <c r="I3118" s="1" t="str">
        <f>"Позитивний"</f>
        <v>Позитивний</v>
      </c>
      <c r="J3118" s="1" t="str">
        <f>"Так"</f>
        <v>Так</v>
      </c>
    </row>
    <row r="3119" spans="1:10" ht="45" x14ac:dyDescent="0.25">
      <c r="A3119" s="1" t="str">
        <f>"3231-2020/27"</f>
        <v>3231-2020/27</v>
      </c>
      <c r="B3119" s="1" t="str">
        <f t="shared" si="510"/>
        <v>24.06.2020</v>
      </c>
      <c r="C3119" s="1" t="str">
        <f>"Закрито"</f>
        <v>Закрито</v>
      </c>
      <c r="D3119" s="1" t="str">
        <f>"Зняття з реєстрації місця проживання"</f>
        <v>Зняття з реєстрації місця проживання</v>
      </c>
      <c r="E3119" s="1" t="str">
        <f>"Реєстрація місця проживання"</f>
        <v>Реєстрація місця проживання</v>
      </c>
      <c r="F3119" s="1" t="str">
        <f>"Відділ реєстрації Новокаховської міської ради"</f>
        <v>Відділ реєстрації Новокаховської міської ради</v>
      </c>
      <c r="G3119" s="1" t="str">
        <f>"1"</f>
        <v>1</v>
      </c>
      <c r="H3119" s="1" t="str">
        <f>"Результат"</f>
        <v>Результат</v>
      </c>
      <c r="I3119" s="1" t="str">
        <f>"Позитивний"</f>
        <v>Позитивний</v>
      </c>
      <c r="J3119" s="1" t="str">
        <f>"Так"</f>
        <v>Так</v>
      </c>
    </row>
    <row r="3120" spans="1:10" ht="75" x14ac:dyDescent="0.25">
      <c r="A3120" s="1" t="str">
        <f>"3219-2020/27"</f>
        <v>3219-2020/27</v>
      </c>
      <c r="B3120" s="1" t="str">
        <f t="shared" si="510"/>
        <v>24.06.2020</v>
      </c>
      <c r="C3120" s="1" t="str">
        <f>"На обробці в адмін. органі"</f>
        <v>На обробці в адмін. органі</v>
      </c>
      <c r="D3120" s="1" t="str">
        <f>"Продовження терміну дії дозволу на розміщення зовнішньої реклами"</f>
        <v>Продовження терміну дії дозволу на розміщення зовнішньої реклами</v>
      </c>
      <c r="E3120" s="1" t="str">
        <f>"Зовнішня реклама"</f>
        <v>Зовнішня реклама</v>
      </c>
      <c r="F3120" s="1" t="str">
        <f>"Управління містобудування та архітектури Новокаховської міської ради"</f>
        <v>Управління містобудування та архітектури Новокаховської міської ради</v>
      </c>
      <c r="G3120" s="1" t="str">
        <f>"30"</f>
        <v>30</v>
      </c>
      <c r="H3120" s="1" t="str">
        <f>""</f>
        <v/>
      </c>
      <c r="I3120" s="1" t="str">
        <f>""</f>
        <v/>
      </c>
      <c r="J3120" s="1" t="str">
        <f>"Ні"</f>
        <v>Ні</v>
      </c>
    </row>
    <row r="3121" spans="1:10" ht="135" x14ac:dyDescent="0.25">
      <c r="A3121" s="1" t="str">
        <f>"3238-2020/27"</f>
        <v>3238-2020/27</v>
      </c>
      <c r="B3121" s="1" t="str">
        <f t="shared" si="510"/>
        <v>24.06.2020</v>
      </c>
      <c r="C3121" s="1" t="str">
        <f t="shared" ref="C3121:C3128" si="513">"Закрито"</f>
        <v>Закрито</v>
      </c>
      <c r="D3121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21" s="1" t="str">
        <f>"Земельні питання"</f>
        <v>Земельні питання</v>
      </c>
      <c r="F312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21" s="1" t="str">
        <f t="shared" ref="G3121:G3127" si="514">"1"</f>
        <v>1</v>
      </c>
      <c r="H3121" s="1" t="str">
        <f>"Результат"</f>
        <v>Результат</v>
      </c>
      <c r="I3121" s="1" t="str">
        <f>"Позитивний"</f>
        <v>Позитивний</v>
      </c>
      <c r="J3121" s="1" t="str">
        <f t="shared" ref="J3121:J3127" si="515">"Так"</f>
        <v>Так</v>
      </c>
    </row>
    <row r="3122" spans="1:10" ht="45" x14ac:dyDescent="0.25">
      <c r="A3122" s="1" t="str">
        <f>"3229-2020/27"</f>
        <v>3229-2020/27</v>
      </c>
      <c r="B3122" s="1" t="str">
        <f t="shared" si="510"/>
        <v>24.06.2020</v>
      </c>
      <c r="C3122" s="1" t="str">
        <f t="shared" si="513"/>
        <v>Закрито</v>
      </c>
      <c r="D3122" s="1" t="str">
        <f>"Реєстрація місця проживання особи"</f>
        <v>Реєстрація місця проживання особи</v>
      </c>
      <c r="E3122" s="1" t="str">
        <f>"Реєстрація місця проживання"</f>
        <v>Реєстрація місця проживання</v>
      </c>
      <c r="F3122" s="1" t="str">
        <f>"Відділ реєстрації Новокаховської міської ради"</f>
        <v>Відділ реєстрації Новокаховської міської ради</v>
      </c>
      <c r="G3122" s="1" t="str">
        <f t="shared" si="514"/>
        <v>1</v>
      </c>
      <c r="H3122" s="1" t="str">
        <f>"Результат"</f>
        <v>Результат</v>
      </c>
      <c r="I3122" s="1" t="str">
        <f>"Позитивний"</f>
        <v>Позитивний</v>
      </c>
      <c r="J3122" s="1" t="str">
        <f t="shared" si="515"/>
        <v>Так</v>
      </c>
    </row>
    <row r="3123" spans="1:10" ht="135" x14ac:dyDescent="0.25">
      <c r="A3123" s="1" t="str">
        <f>"3236-2020/27"</f>
        <v>3236-2020/27</v>
      </c>
      <c r="B3123" s="1" t="str">
        <f t="shared" si="510"/>
        <v>24.06.2020</v>
      </c>
      <c r="C3123" s="1" t="str">
        <f t="shared" si="513"/>
        <v>Закрито</v>
      </c>
      <c r="D312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23" s="1" t="str">
        <f>"Земельні питання"</f>
        <v>Земельні питання</v>
      </c>
      <c r="F312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23" s="1" t="str">
        <f t="shared" si="514"/>
        <v>1</v>
      </c>
      <c r="H3123" s="1" t="str">
        <f>"Результат"</f>
        <v>Результат</v>
      </c>
      <c r="I3123" s="1" t="str">
        <f>"Позитивний"</f>
        <v>Позитивний</v>
      </c>
      <c r="J3123" s="1" t="str">
        <f t="shared" si="515"/>
        <v>Так</v>
      </c>
    </row>
    <row r="3124" spans="1:10" ht="45" x14ac:dyDescent="0.25">
      <c r="A3124" s="1" t="str">
        <f>"3210-2020/27"</f>
        <v>3210-2020/27</v>
      </c>
      <c r="B3124" s="1" t="str">
        <f t="shared" si="510"/>
        <v>24.06.2020</v>
      </c>
      <c r="C3124" s="1" t="str">
        <f t="shared" si="513"/>
        <v>Закрито</v>
      </c>
      <c r="D3124" s="1" t="str">
        <f>"Реєстрація місця проживання особи"</f>
        <v>Реєстрація місця проживання особи</v>
      </c>
      <c r="E3124" s="1" t="str">
        <f>"Реєстрація місця проживання"</f>
        <v>Реєстрація місця проживання</v>
      </c>
      <c r="F3124" s="1" t="str">
        <f>"Відділ реєстрації Новокаховської міської ради"</f>
        <v>Відділ реєстрації Новокаховської міської ради</v>
      </c>
      <c r="G3124" s="1" t="str">
        <f t="shared" si="514"/>
        <v>1</v>
      </c>
      <c r="H3124" s="1" t="str">
        <f>"Результат"</f>
        <v>Результат</v>
      </c>
      <c r="I3124" s="1" t="str">
        <f>"Позитивний"</f>
        <v>Позитивний</v>
      </c>
      <c r="J3124" s="1" t="str">
        <f t="shared" si="515"/>
        <v>Так</v>
      </c>
    </row>
    <row r="3125" spans="1:10" ht="135" x14ac:dyDescent="0.25">
      <c r="A3125" s="1" t="str">
        <f>"3251-2020/27"</f>
        <v>3251-2020/27</v>
      </c>
      <c r="B3125" s="1" t="str">
        <f t="shared" ref="B3125:B3146" si="516">"25.06.2020"</f>
        <v>25.06.2020</v>
      </c>
      <c r="C3125" s="1" t="str">
        <f t="shared" si="513"/>
        <v>Закрито</v>
      </c>
      <c r="D312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25" s="1" t="str">
        <f>"Земельні питання"</f>
        <v>Земельні питання</v>
      </c>
      <c r="F312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25" s="1" t="str">
        <f t="shared" si="514"/>
        <v>1</v>
      </c>
      <c r="H3125" s="1" t="str">
        <f>"Результат"</f>
        <v>Результат</v>
      </c>
      <c r="I3125" s="1" t="str">
        <f>"Позитивний"</f>
        <v>Позитивний</v>
      </c>
      <c r="J3125" s="1" t="str">
        <f t="shared" si="515"/>
        <v>Так</v>
      </c>
    </row>
    <row r="3126" spans="1:10" ht="45" x14ac:dyDescent="0.25">
      <c r="A3126" s="1" t="str">
        <f>"3248-2020/27"</f>
        <v>3248-2020/27</v>
      </c>
      <c r="B3126" s="1" t="str">
        <f t="shared" si="516"/>
        <v>25.06.2020</v>
      </c>
      <c r="C3126" s="1" t="str">
        <f t="shared" si="513"/>
        <v>Закрито</v>
      </c>
      <c r="D3126" s="1" t="str">
        <f>"Реєстрація місця проживання особи"</f>
        <v>Реєстрація місця проживання особи</v>
      </c>
      <c r="E3126" s="1" t="str">
        <f>"Реєстрація місця проживання"</f>
        <v>Реєстрація місця проживання</v>
      </c>
      <c r="F3126" s="1" t="str">
        <f>"Відділ реєстрації Новокаховської міської ради"</f>
        <v>Відділ реєстрації Новокаховської міської ради</v>
      </c>
      <c r="G3126" s="1" t="str">
        <f t="shared" si="514"/>
        <v>1</v>
      </c>
      <c r="H3126" s="1" t="str">
        <f>"Результат"</f>
        <v>Результат</v>
      </c>
      <c r="I3126" s="1" t="str">
        <f>"Позитивний"</f>
        <v>Позитивний</v>
      </c>
      <c r="J3126" s="1" t="str">
        <f t="shared" si="515"/>
        <v>Так</v>
      </c>
    </row>
    <row r="3127" spans="1:10" ht="45" x14ac:dyDescent="0.25">
      <c r="A3127" s="1" t="str">
        <f>"3265-2020/27"</f>
        <v>3265-2020/27</v>
      </c>
      <c r="B3127" s="1" t="str">
        <f t="shared" si="516"/>
        <v>25.06.2020</v>
      </c>
      <c r="C3127" s="1" t="str">
        <f t="shared" si="513"/>
        <v>Закрито</v>
      </c>
      <c r="D3127" s="1" t="str">
        <f>"Реєстрація місця проживання особи"</f>
        <v>Реєстрація місця проживання особи</v>
      </c>
      <c r="E3127" s="1" t="str">
        <f>"Реєстрація місця проживання"</f>
        <v>Реєстрація місця проживання</v>
      </c>
      <c r="F3127" s="1" t="str">
        <f>"Відділ реєстрації Новокаховської міської ради"</f>
        <v>Відділ реєстрації Новокаховської міської ради</v>
      </c>
      <c r="G3127" s="1" t="str">
        <f t="shared" si="514"/>
        <v>1</v>
      </c>
      <c r="H3127" s="1" t="str">
        <f>"Результат"</f>
        <v>Результат</v>
      </c>
      <c r="I3127" s="1" t="str">
        <f>"Позитивний"</f>
        <v>Позитивний</v>
      </c>
      <c r="J3127" s="1" t="str">
        <f t="shared" si="515"/>
        <v>Так</v>
      </c>
    </row>
    <row r="3128" spans="1:10" ht="90" x14ac:dyDescent="0.25">
      <c r="A3128" s="1" t="str">
        <f>"3253-2020/27"</f>
        <v>3253-2020/27</v>
      </c>
      <c r="B3128" s="1" t="str">
        <f t="shared" si="516"/>
        <v>25.06.2020</v>
      </c>
      <c r="C3128" s="1" t="str">
        <f t="shared" si="513"/>
        <v>Закрито</v>
      </c>
      <c r="D3128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28" s="1" t="str">
        <f>"Інші послуги"</f>
        <v>Інші послуги</v>
      </c>
      <c r="F3128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28" s="1" t="str">
        <f>"5"</f>
        <v>5</v>
      </c>
      <c r="H3128" s="1" t="str">
        <f>"Результат"</f>
        <v>Результат</v>
      </c>
      <c r="I3128" s="1" t="str">
        <f>"Позитивний"</f>
        <v>Позитивний</v>
      </c>
      <c r="J3128" s="1" t="str">
        <f>"Ні"</f>
        <v>Ні</v>
      </c>
    </row>
    <row r="3129" spans="1:10" ht="225" x14ac:dyDescent="0.25">
      <c r="A3129" s="1" t="str">
        <f>"3255-2020/27"</f>
        <v>3255-2020/27</v>
      </c>
      <c r="B3129" s="1" t="str">
        <f t="shared" si="516"/>
        <v>25.06.2020</v>
      </c>
      <c r="C3129" s="1" t="str">
        <f>"Закрито"</f>
        <v>Закрито</v>
      </c>
      <c r="D3129" s="1" t="s">
        <v>1</v>
      </c>
      <c r="E3129" s="1" t="str">
        <f>"Будівництво"</f>
        <v>Будівництво</v>
      </c>
      <c r="F3129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129" s="1" t="str">
        <f>"30"</f>
        <v>30</v>
      </c>
      <c r="H3129" s="1" t="str">
        <f>"Результат"</f>
        <v>Результат</v>
      </c>
      <c r="I3129" s="1" t="str">
        <f>"Позитивний"</f>
        <v>Позитивний</v>
      </c>
      <c r="J3129" s="1" t="str">
        <f>"Ні"</f>
        <v>Ні</v>
      </c>
    </row>
    <row r="3130" spans="1:10" ht="45" x14ac:dyDescent="0.25">
      <c r="A3130" s="1" t="str">
        <f>"3261-2020/27"</f>
        <v>3261-2020/27</v>
      </c>
      <c r="B3130" s="1" t="str">
        <f t="shared" si="516"/>
        <v>25.06.2020</v>
      </c>
      <c r="C3130" s="1" t="str">
        <f t="shared" ref="C3130:C3163" si="517">"Закрито"</f>
        <v>Закрито</v>
      </c>
      <c r="D3130" s="1" t="str">
        <f>"Реєстрація місця проживання особи"</f>
        <v>Реєстрація місця проживання особи</v>
      </c>
      <c r="E3130" s="1" t="str">
        <f>"Реєстрація місця проживання"</f>
        <v>Реєстрація місця проживання</v>
      </c>
      <c r="F3130" s="1" t="str">
        <f>"Відділ реєстрації Новокаховської міської ради"</f>
        <v>Відділ реєстрації Новокаховської міської ради</v>
      </c>
      <c r="G3130" s="1" t="str">
        <f>"1"</f>
        <v>1</v>
      </c>
      <c r="H3130" s="1" t="str">
        <f>"Результат"</f>
        <v>Результат</v>
      </c>
      <c r="I3130" s="1" t="str">
        <f>"Позитивний"</f>
        <v>Позитивний</v>
      </c>
      <c r="J3130" s="1" t="str">
        <f>"Так"</f>
        <v>Так</v>
      </c>
    </row>
    <row r="3131" spans="1:10" ht="90" x14ac:dyDescent="0.25">
      <c r="A3131" s="1" t="str">
        <f>"3264-2020/27"</f>
        <v>3264-2020/27</v>
      </c>
      <c r="B3131" s="1" t="str">
        <f t="shared" si="516"/>
        <v>25.06.2020</v>
      </c>
      <c r="C3131" s="1" t="str">
        <f t="shared" si="517"/>
        <v>Закрито</v>
      </c>
      <c r="D313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31" s="1" t="str">
        <f>"Інші послуги"</f>
        <v>Інші послуги</v>
      </c>
      <c r="F313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31" s="1" t="str">
        <f>"5"</f>
        <v>5</v>
      </c>
      <c r="H3131" s="1" t="str">
        <f>"Результат"</f>
        <v>Результат</v>
      </c>
      <c r="I3131" s="1" t="str">
        <f>"Позитивний"</f>
        <v>Позитивний</v>
      </c>
      <c r="J3131" s="1" t="str">
        <f>"Ні"</f>
        <v>Ні</v>
      </c>
    </row>
    <row r="3132" spans="1:10" ht="90" x14ac:dyDescent="0.25">
      <c r="A3132" s="1" t="str">
        <f>"3246-2020/27"</f>
        <v>3246-2020/27</v>
      </c>
      <c r="B3132" s="1" t="str">
        <f t="shared" si="516"/>
        <v>25.06.2020</v>
      </c>
      <c r="C3132" s="1" t="str">
        <f t="shared" si="517"/>
        <v>Закрито</v>
      </c>
      <c r="D3132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32" s="1" t="str">
        <f>"Інші послуги"</f>
        <v>Інші послуги</v>
      </c>
      <c r="F3132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32" s="1" t="str">
        <f>"5"</f>
        <v>5</v>
      </c>
      <c r="H3132" s="1" t="str">
        <f>"Результат"</f>
        <v>Результат</v>
      </c>
      <c r="I3132" s="1" t="str">
        <f>"Позитивний"</f>
        <v>Позитивний</v>
      </c>
      <c r="J3132" s="1" t="str">
        <f>"Ні"</f>
        <v>Ні</v>
      </c>
    </row>
    <row r="3133" spans="1:10" ht="45" x14ac:dyDescent="0.25">
      <c r="A3133" s="1" t="str">
        <f>"3249-2020/27"</f>
        <v>3249-2020/27</v>
      </c>
      <c r="B3133" s="1" t="str">
        <f t="shared" si="516"/>
        <v>25.06.2020</v>
      </c>
      <c r="C3133" s="1" t="str">
        <f t="shared" si="517"/>
        <v>Закрито</v>
      </c>
      <c r="D3133" s="1" t="str">
        <f>"Зняття з реєстрації місця проживання"</f>
        <v>Зняття з реєстрації місця проживання</v>
      </c>
      <c r="E3133" s="1" t="str">
        <f>"Реєстрація місця проживання"</f>
        <v>Реєстрація місця проживання</v>
      </c>
      <c r="F3133" s="1" t="str">
        <f>"Відділ реєстрації Новокаховської міської ради"</f>
        <v>Відділ реєстрації Новокаховської міської ради</v>
      </c>
      <c r="G3133" s="1" t="str">
        <f>"1"</f>
        <v>1</v>
      </c>
      <c r="H3133" s="1" t="str">
        <f>"Результат"</f>
        <v>Результат</v>
      </c>
      <c r="I3133" s="1" t="str">
        <f>"Позитивний"</f>
        <v>Позитивний</v>
      </c>
      <c r="J3133" s="1" t="str">
        <f>"Так"</f>
        <v>Так</v>
      </c>
    </row>
    <row r="3134" spans="1:10" ht="90" x14ac:dyDescent="0.25">
      <c r="A3134" s="1" t="str">
        <f>"3266-2020/27"</f>
        <v>3266-2020/27</v>
      </c>
      <c r="B3134" s="1" t="str">
        <f t="shared" si="516"/>
        <v>25.06.2020</v>
      </c>
      <c r="C3134" s="1" t="str">
        <f t="shared" si="517"/>
        <v>Закрито</v>
      </c>
      <c r="D313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34" s="1" t="str">
        <f>"Інші послуги"</f>
        <v>Інші послуги</v>
      </c>
      <c r="F313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34" s="1" t="str">
        <f>"5"</f>
        <v>5</v>
      </c>
      <c r="H3134" s="1" t="str">
        <f>"Результат"</f>
        <v>Результат</v>
      </c>
      <c r="I3134" s="1" t="str">
        <f>"Мотивована відмова"</f>
        <v>Мотивована відмова</v>
      </c>
      <c r="J3134" s="1" t="str">
        <f>"Ні"</f>
        <v>Ні</v>
      </c>
    </row>
    <row r="3135" spans="1:10" ht="75" x14ac:dyDescent="0.25">
      <c r="A3135" s="1" t="str">
        <f>"3256-2020/27"</f>
        <v>3256-2020/27</v>
      </c>
      <c r="B3135" s="1" t="str">
        <f t="shared" si="516"/>
        <v>25.06.2020</v>
      </c>
      <c r="C3135" s="1" t="str">
        <f t="shared" si="517"/>
        <v>Закрито</v>
      </c>
      <c r="D3135" s="1" t="str">
        <f>"Державна реєстрація рішення про припинення громадського об'єднання"</f>
        <v>Державна реєстрація рішення про припинення громадського об'єднання</v>
      </c>
      <c r="E3135" s="1" t="str">
        <f>"Державна реєстрація громадських об’єднань"</f>
        <v>Державна реєстрація громадських об’єднань</v>
      </c>
      <c r="F3135" s="1" t="str">
        <f>"Головне територіальне управління юстиції в Херсонській області"</f>
        <v>Головне територіальне управління юстиції в Херсонській області</v>
      </c>
      <c r="G3135" s="1" t="str">
        <f>"3"</f>
        <v>3</v>
      </c>
      <c r="H3135" s="1" t="str">
        <f>"Результат"</f>
        <v>Результат</v>
      </c>
      <c r="I3135" s="1" t="str">
        <f>"Позитивний"</f>
        <v>Позитивний</v>
      </c>
      <c r="J3135" s="1" t="str">
        <f>"Ні"</f>
        <v>Ні</v>
      </c>
    </row>
    <row r="3136" spans="1:10" ht="45" x14ac:dyDescent="0.25">
      <c r="A3136" s="1" t="str">
        <f>"3259-2020/27"</f>
        <v>3259-2020/27</v>
      </c>
      <c r="B3136" s="1" t="str">
        <f t="shared" si="516"/>
        <v>25.06.2020</v>
      </c>
      <c r="C3136" s="1" t="str">
        <f t="shared" si="517"/>
        <v>Закрито</v>
      </c>
      <c r="D3136" s="1" t="str">
        <f>"Реєстрація місця проживання особи"</f>
        <v>Реєстрація місця проживання особи</v>
      </c>
      <c r="E3136" s="1" t="str">
        <f>"Реєстрація місця проживання"</f>
        <v>Реєстрація місця проживання</v>
      </c>
      <c r="F3136" s="1" t="str">
        <f>"Відділ реєстрації Новокаховської міської ради"</f>
        <v>Відділ реєстрації Новокаховської міської ради</v>
      </c>
      <c r="G3136" s="1" t="str">
        <f>"1"</f>
        <v>1</v>
      </c>
      <c r="H3136" s="1" t="str">
        <f>"Результат"</f>
        <v>Результат</v>
      </c>
      <c r="I3136" s="1" t="str">
        <f>"Позитивний"</f>
        <v>Позитивний</v>
      </c>
      <c r="J3136" s="1" t="str">
        <f>"Так"</f>
        <v>Так</v>
      </c>
    </row>
    <row r="3137" spans="1:10" ht="45" x14ac:dyDescent="0.25">
      <c r="A3137" s="1" t="str">
        <f>"3260-2020/27"</f>
        <v>3260-2020/27</v>
      </c>
      <c r="B3137" s="1" t="str">
        <f t="shared" si="516"/>
        <v>25.06.2020</v>
      </c>
      <c r="C3137" s="1" t="str">
        <f t="shared" si="517"/>
        <v>Закрито</v>
      </c>
      <c r="D3137" s="1" t="str">
        <f>"Реєстрація місця проживання особи"</f>
        <v>Реєстрація місця проживання особи</v>
      </c>
      <c r="E3137" s="1" t="str">
        <f>"Реєстрація місця проживання"</f>
        <v>Реєстрація місця проживання</v>
      </c>
      <c r="F3137" s="1" t="str">
        <f>"Відділ реєстрації Новокаховської міської ради"</f>
        <v>Відділ реєстрації Новокаховської міської ради</v>
      </c>
      <c r="G3137" s="1" t="str">
        <f>"1"</f>
        <v>1</v>
      </c>
      <c r="H3137" s="1" t="str">
        <f>"Результат"</f>
        <v>Результат</v>
      </c>
      <c r="I3137" s="1" t="str">
        <f>"Позитивний"</f>
        <v>Позитивний</v>
      </c>
      <c r="J3137" s="1" t="str">
        <f>"Так"</f>
        <v>Так</v>
      </c>
    </row>
    <row r="3138" spans="1:10" ht="45" x14ac:dyDescent="0.25">
      <c r="A3138" s="1" t="str">
        <f>"3262-2020/27"</f>
        <v>3262-2020/27</v>
      </c>
      <c r="B3138" s="1" t="str">
        <f t="shared" si="516"/>
        <v>25.06.2020</v>
      </c>
      <c r="C3138" s="1" t="str">
        <f t="shared" si="517"/>
        <v>Закрито</v>
      </c>
      <c r="D3138" s="1" t="str">
        <f>"Реєстрація місця проживання особи"</f>
        <v>Реєстрація місця проживання особи</v>
      </c>
      <c r="E3138" s="1" t="str">
        <f>"Реєстрація місця проживання"</f>
        <v>Реєстрація місця проживання</v>
      </c>
      <c r="F3138" s="1" t="str">
        <f>"Відділ реєстрації Новокаховської міської ради"</f>
        <v>Відділ реєстрації Новокаховської міської ради</v>
      </c>
      <c r="G3138" s="1" t="str">
        <f>"1"</f>
        <v>1</v>
      </c>
      <c r="H3138" s="1" t="str">
        <f>"Результат"</f>
        <v>Результат</v>
      </c>
      <c r="I3138" s="1" t="str">
        <f>"Позитивний"</f>
        <v>Позитивний</v>
      </c>
      <c r="J3138" s="1" t="str">
        <f>"Так"</f>
        <v>Так</v>
      </c>
    </row>
    <row r="3139" spans="1:10" ht="90" x14ac:dyDescent="0.25">
      <c r="A3139" s="1" t="str">
        <f>"3257-2020/27"</f>
        <v>3257-2020/27</v>
      </c>
      <c r="B3139" s="1" t="str">
        <f t="shared" si="516"/>
        <v>25.06.2020</v>
      </c>
      <c r="C3139" s="1" t="str">
        <f t="shared" si="517"/>
        <v>Закрито</v>
      </c>
      <c r="D3139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39" s="1" t="str">
        <f>"Інші послуги"</f>
        <v>Інші послуги</v>
      </c>
      <c r="F3139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39" s="1" t="str">
        <f>"5"</f>
        <v>5</v>
      </c>
      <c r="H3139" s="1" t="str">
        <f>"Результат"</f>
        <v>Результат</v>
      </c>
      <c r="I3139" s="1" t="str">
        <f>"Позитивний"</f>
        <v>Позитивний</v>
      </c>
      <c r="J3139" s="1" t="str">
        <f t="shared" ref="J3139:J3144" si="518">"Ні"</f>
        <v>Ні</v>
      </c>
    </row>
    <row r="3140" spans="1:10" ht="225" x14ac:dyDescent="0.25">
      <c r="A3140" s="1" t="str">
        <f>"3254-2020/27"</f>
        <v>3254-2020/27</v>
      </c>
      <c r="B3140" s="1" t="str">
        <f t="shared" si="516"/>
        <v>25.06.2020</v>
      </c>
      <c r="C3140" s="1" t="str">
        <f t="shared" si="517"/>
        <v>Закрито</v>
      </c>
      <c r="D3140" s="1" t="s">
        <v>0</v>
      </c>
      <c r="E3140" s="1" t="str">
        <f>"Будівництво"</f>
        <v>Будівництво</v>
      </c>
      <c r="F3140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140" s="1" t="str">
        <f>"10"</f>
        <v>10</v>
      </c>
      <c r="H3140" s="1" t="str">
        <f>"Результат"</f>
        <v>Результат</v>
      </c>
      <c r="I3140" s="1" t="str">
        <f>"Позитивний"</f>
        <v>Позитивний</v>
      </c>
      <c r="J3140" s="1" t="str">
        <f t="shared" si="518"/>
        <v>Ні</v>
      </c>
    </row>
    <row r="3141" spans="1:10" ht="90" x14ac:dyDescent="0.25">
      <c r="A3141" s="1" t="str">
        <f>"3252-2020/27"</f>
        <v>3252-2020/27</v>
      </c>
      <c r="B3141" s="1" t="str">
        <f t="shared" si="516"/>
        <v>25.06.2020</v>
      </c>
      <c r="C3141" s="1" t="str">
        <f t="shared" si="517"/>
        <v>Закрито</v>
      </c>
      <c r="D314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41" s="1" t="str">
        <f>"Інші послуги"</f>
        <v>Інші послуги</v>
      </c>
      <c r="F314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41" s="1" t="str">
        <f>"5"</f>
        <v>5</v>
      </c>
      <c r="H3141" s="1" t="str">
        <f>"Результат"</f>
        <v>Результат</v>
      </c>
      <c r="I3141" s="1" t="str">
        <f>"Позитивний"</f>
        <v>Позитивний</v>
      </c>
      <c r="J3141" s="1" t="str">
        <f t="shared" si="518"/>
        <v>Ні</v>
      </c>
    </row>
    <row r="3142" spans="1:10" ht="135" x14ac:dyDescent="0.25">
      <c r="A3142" s="1" t="str">
        <f>"3247-2020/27"</f>
        <v>3247-2020/27</v>
      </c>
      <c r="B3142" s="1" t="str">
        <f t="shared" si="516"/>
        <v>25.06.2020</v>
      </c>
      <c r="C3142" s="1" t="str">
        <f t="shared" si="517"/>
        <v>Закрито</v>
      </c>
      <c r="D3142" s="1" t="str">
        <f>"Видача витягу з технічної документації про нормативну грошову оцінку земельної ділянки."</f>
        <v>Видача витягу з технічної документації про нормативну грошову оцінку земельної ділянки.</v>
      </c>
      <c r="E3142" s="1" t="str">
        <f>"Земельні питання"</f>
        <v>Земельні питання</v>
      </c>
      <c r="F314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42" s="1" t="str">
        <f>"3"</f>
        <v>3</v>
      </c>
      <c r="H3142" s="1" t="str">
        <f>"Результат"</f>
        <v>Результат</v>
      </c>
      <c r="I3142" s="1" t="str">
        <f>"Позитивний"</f>
        <v>Позитивний</v>
      </c>
      <c r="J3142" s="1" t="str">
        <f t="shared" si="518"/>
        <v>Ні</v>
      </c>
    </row>
    <row r="3143" spans="1:10" ht="90" x14ac:dyDescent="0.25">
      <c r="A3143" s="1" t="str">
        <f>"3263-2020/27"</f>
        <v>3263-2020/27</v>
      </c>
      <c r="B3143" s="1" t="str">
        <f t="shared" si="516"/>
        <v>25.06.2020</v>
      </c>
      <c r="C3143" s="1" t="str">
        <f t="shared" si="517"/>
        <v>Закрито</v>
      </c>
      <c r="D314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43" s="1" t="str">
        <f>"Інші послуги"</f>
        <v>Інші послуги</v>
      </c>
      <c r="F314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43" s="1" t="str">
        <f>"5"</f>
        <v>5</v>
      </c>
      <c r="H3143" s="1" t="str">
        <f>"Результат"</f>
        <v>Результат</v>
      </c>
      <c r="I3143" s="1" t="str">
        <f>"Позитивний"</f>
        <v>Позитивний</v>
      </c>
      <c r="J3143" s="1" t="str">
        <f t="shared" si="518"/>
        <v>Ні</v>
      </c>
    </row>
    <row r="3144" spans="1:10" ht="90" x14ac:dyDescent="0.25">
      <c r="A3144" s="1" t="str">
        <f>"3267-2020/27"</f>
        <v>3267-2020/27</v>
      </c>
      <c r="B3144" s="1" t="str">
        <f t="shared" si="516"/>
        <v>25.06.2020</v>
      </c>
      <c r="C3144" s="1" t="str">
        <f t="shared" si="517"/>
        <v>Закрито</v>
      </c>
      <c r="D314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44" s="1" t="str">
        <f>"Інші послуги"</f>
        <v>Інші послуги</v>
      </c>
      <c r="F314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44" s="1" t="str">
        <f>"5"</f>
        <v>5</v>
      </c>
      <c r="H3144" s="1" t="str">
        <f>"Результат"</f>
        <v>Результат</v>
      </c>
      <c r="I3144" s="1" t="str">
        <f>"Позитивний"</f>
        <v>Позитивний</v>
      </c>
      <c r="J3144" s="1" t="str">
        <f t="shared" si="518"/>
        <v>Ні</v>
      </c>
    </row>
    <row r="3145" spans="1:10" ht="45" x14ac:dyDescent="0.25">
      <c r="A3145" s="1" t="str">
        <f>"3258-2020/27"</f>
        <v>3258-2020/27</v>
      </c>
      <c r="B3145" s="1" t="str">
        <f t="shared" si="516"/>
        <v>25.06.2020</v>
      </c>
      <c r="C3145" s="1" t="str">
        <f t="shared" si="517"/>
        <v>Закрито</v>
      </c>
      <c r="D3145" s="1" t="str">
        <f>"Зняття з реєстрації місця проживання"</f>
        <v>Зняття з реєстрації місця проживання</v>
      </c>
      <c r="E3145" s="1" t="str">
        <f>"Реєстрація місця проживання"</f>
        <v>Реєстрація місця проживання</v>
      </c>
      <c r="F3145" s="1" t="str">
        <f>"Відділ реєстрації Новокаховської міської ради"</f>
        <v>Відділ реєстрації Новокаховської міської ради</v>
      </c>
      <c r="G3145" s="1" t="str">
        <f>"1"</f>
        <v>1</v>
      </c>
      <c r="H3145" s="1" t="str">
        <f>"Результат"</f>
        <v>Результат</v>
      </c>
      <c r="I3145" s="1" t="str">
        <f>"Позитивний"</f>
        <v>Позитивний</v>
      </c>
      <c r="J3145" s="1" t="str">
        <f t="shared" ref="J3145:J3160" si="519">"Так"</f>
        <v>Так</v>
      </c>
    </row>
    <row r="3146" spans="1:10" ht="135" x14ac:dyDescent="0.25">
      <c r="A3146" s="1" t="str">
        <f>"3250-2020/27"</f>
        <v>3250-2020/27</v>
      </c>
      <c r="B3146" s="1" t="str">
        <f t="shared" si="516"/>
        <v>25.06.2020</v>
      </c>
      <c r="C3146" s="1" t="str">
        <f t="shared" si="517"/>
        <v>Закрито</v>
      </c>
      <c r="D3146" s="1" t="str">
        <f>"Надання відомостей з Державного земельного кадастру у формі витягу з Державного земельного кадастру про обмеження у використанні земель"</f>
        <v>Надання відомостей з Державного земельного кадастру у формі витягу з Державного земельного кадастру про обмеження у використанні земель</v>
      </c>
      <c r="E3146" s="1" t="str">
        <f>"Земельні питання"</f>
        <v>Земельні питання</v>
      </c>
      <c r="F314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46" s="1" t="str">
        <f>"10"</f>
        <v>10</v>
      </c>
      <c r="H3146" s="1" t="str">
        <f>"Результат"</f>
        <v>Результат</v>
      </c>
      <c r="I3146" s="1" t="str">
        <f>"Позитивний"</f>
        <v>Позитивний</v>
      </c>
      <c r="J3146" s="1" t="str">
        <f t="shared" si="519"/>
        <v>Так</v>
      </c>
    </row>
    <row r="3147" spans="1:10" ht="135" x14ac:dyDescent="0.25">
      <c r="A3147" s="1" t="str">
        <f>"3290-2020/27"</f>
        <v>3290-2020/27</v>
      </c>
      <c r="B3147" s="1" t="str">
        <f t="shared" ref="B3147:B3175" si="520">"26.06.2020"</f>
        <v>26.06.2020</v>
      </c>
      <c r="C3147" s="1" t="str">
        <f t="shared" si="517"/>
        <v>Закрито</v>
      </c>
      <c r="D314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47" s="1" t="str">
        <f>"Земельні питання"</f>
        <v>Земельні питання</v>
      </c>
      <c r="F314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47" s="1" t="str">
        <f t="shared" ref="G3147:G3160" si="521">"1"</f>
        <v>1</v>
      </c>
      <c r="H3147" s="1" t="str">
        <f>"Результат"</f>
        <v>Результат</v>
      </c>
      <c r="I3147" s="1" t="str">
        <f>"Позитивний"</f>
        <v>Позитивний</v>
      </c>
      <c r="J3147" s="1" t="str">
        <f t="shared" si="519"/>
        <v>Так</v>
      </c>
    </row>
    <row r="3148" spans="1:10" ht="45" x14ac:dyDescent="0.25">
      <c r="A3148" s="1" t="str">
        <f>"3280-2020/27"</f>
        <v>3280-2020/27</v>
      </c>
      <c r="B3148" s="1" t="str">
        <f t="shared" si="520"/>
        <v>26.06.2020</v>
      </c>
      <c r="C3148" s="1" t="str">
        <f t="shared" si="517"/>
        <v>Закрито</v>
      </c>
      <c r="D3148" s="1" t="str">
        <f>"Реєстрація місця проживання особи"</f>
        <v>Реєстрація місця проживання особи</v>
      </c>
      <c r="E3148" s="1" t="str">
        <f>"Реєстрація місця проживання"</f>
        <v>Реєстрація місця проживання</v>
      </c>
      <c r="F3148" s="1" t="str">
        <f>"Відділ реєстрації Новокаховської міської ради"</f>
        <v>Відділ реєстрації Новокаховської міської ради</v>
      </c>
      <c r="G3148" s="1" t="str">
        <f t="shared" si="521"/>
        <v>1</v>
      </c>
      <c r="H3148" s="1" t="str">
        <f>"Результат"</f>
        <v>Результат</v>
      </c>
      <c r="I3148" s="1" t="str">
        <f>"Позитивний"</f>
        <v>Позитивний</v>
      </c>
      <c r="J3148" s="1" t="str">
        <f t="shared" si="519"/>
        <v>Так</v>
      </c>
    </row>
    <row r="3149" spans="1:10" ht="105" x14ac:dyDescent="0.25">
      <c r="A3149" s="1" t="str">
        <f>"3288-2020/27"</f>
        <v>3288-2020/27</v>
      </c>
      <c r="B3149" s="1" t="str">
        <f t="shared" si="520"/>
        <v>26.06.2020</v>
      </c>
      <c r="C3149" s="1" t="str">
        <f t="shared" si="517"/>
        <v>Закрито</v>
      </c>
      <c r="D314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49" s="1" t="str">
        <f>"Земельні питання"</f>
        <v>Земельні питання</v>
      </c>
      <c r="F3149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149" s="1" t="str">
        <f t="shared" si="521"/>
        <v>1</v>
      </c>
      <c r="H3149" s="1" t="str">
        <f>"Результат"</f>
        <v>Результат</v>
      </c>
      <c r="I3149" s="1" t="str">
        <f>"Позитивний"</f>
        <v>Позитивний</v>
      </c>
      <c r="J3149" s="1" t="str">
        <f t="shared" si="519"/>
        <v>Так</v>
      </c>
    </row>
    <row r="3150" spans="1:10" ht="135" x14ac:dyDescent="0.25">
      <c r="A3150" s="1" t="str">
        <f>"3292-2020/27"</f>
        <v>3292-2020/27</v>
      </c>
      <c r="B3150" s="1" t="str">
        <f t="shared" si="520"/>
        <v>26.06.2020</v>
      </c>
      <c r="C3150" s="1" t="str">
        <f t="shared" si="517"/>
        <v>Закрито</v>
      </c>
      <c r="D315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50" s="1" t="str">
        <f>"Земельні питання"</f>
        <v>Земельні питання</v>
      </c>
      <c r="F315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50" s="1" t="str">
        <f t="shared" si="521"/>
        <v>1</v>
      </c>
      <c r="H3150" s="1" t="str">
        <f>"Результат"</f>
        <v>Результат</v>
      </c>
      <c r="I3150" s="1" t="str">
        <f>"Позитивний"</f>
        <v>Позитивний</v>
      </c>
      <c r="J3150" s="1" t="str">
        <f t="shared" si="519"/>
        <v>Так</v>
      </c>
    </row>
    <row r="3151" spans="1:10" ht="45" x14ac:dyDescent="0.25">
      <c r="A3151" s="1" t="str">
        <f>"3271-2020/27"</f>
        <v>3271-2020/27</v>
      </c>
      <c r="B3151" s="1" t="str">
        <f t="shared" si="520"/>
        <v>26.06.2020</v>
      </c>
      <c r="C3151" s="1" t="str">
        <f t="shared" si="517"/>
        <v>Закрито</v>
      </c>
      <c r="D3151" s="1" t="str">
        <f>"Реєстрація місця проживання особи"</f>
        <v>Реєстрація місця проживання особи</v>
      </c>
      <c r="E3151" s="1" t="str">
        <f>"Реєстрація місця проживання"</f>
        <v>Реєстрація місця проживання</v>
      </c>
      <c r="F3151" s="1" t="str">
        <f>"Відділ реєстрації Новокаховської міської ради"</f>
        <v>Відділ реєстрації Новокаховської міської ради</v>
      </c>
      <c r="G3151" s="1" t="str">
        <f t="shared" si="521"/>
        <v>1</v>
      </c>
      <c r="H3151" s="1" t="str">
        <f>"Результат"</f>
        <v>Результат</v>
      </c>
      <c r="I3151" s="1" t="str">
        <f>"Позитивний"</f>
        <v>Позитивний</v>
      </c>
      <c r="J3151" s="1" t="str">
        <f t="shared" si="519"/>
        <v>Так</v>
      </c>
    </row>
    <row r="3152" spans="1:10" ht="135" x14ac:dyDescent="0.25">
      <c r="A3152" s="1" t="str">
        <f>"3283-2020/27"</f>
        <v>3283-2020/27</v>
      </c>
      <c r="B3152" s="1" t="str">
        <f t="shared" si="520"/>
        <v>26.06.2020</v>
      </c>
      <c r="C3152" s="1" t="str">
        <f t="shared" si="517"/>
        <v>Закрито</v>
      </c>
      <c r="D315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52" s="1" t="str">
        <f>"Земельні питання"</f>
        <v>Земельні питання</v>
      </c>
      <c r="F315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52" s="1" t="str">
        <f t="shared" si="521"/>
        <v>1</v>
      </c>
      <c r="H3152" s="1" t="str">
        <f>"Результат"</f>
        <v>Результат</v>
      </c>
      <c r="I3152" s="1" t="str">
        <f>"Позитивний"</f>
        <v>Позитивний</v>
      </c>
      <c r="J3152" s="1" t="str">
        <f t="shared" si="519"/>
        <v>Так</v>
      </c>
    </row>
    <row r="3153" spans="1:10" ht="45" x14ac:dyDescent="0.25">
      <c r="A3153" s="1" t="str">
        <f>"3284-2020/27"</f>
        <v>3284-2020/27</v>
      </c>
      <c r="B3153" s="1" t="str">
        <f t="shared" si="520"/>
        <v>26.06.2020</v>
      </c>
      <c r="C3153" s="1" t="str">
        <f t="shared" si="517"/>
        <v>Закрито</v>
      </c>
      <c r="D3153" s="1" t="str">
        <f>"Реєстрація місця проживання особи"</f>
        <v>Реєстрація місця проживання особи</v>
      </c>
      <c r="E3153" s="1" t="str">
        <f>"Реєстрація місця проживання"</f>
        <v>Реєстрація місця проживання</v>
      </c>
      <c r="F3153" s="1" t="str">
        <f>"Відділ реєстрації Новокаховської міської ради"</f>
        <v>Відділ реєстрації Новокаховської міської ради</v>
      </c>
      <c r="G3153" s="1" t="str">
        <f t="shared" si="521"/>
        <v>1</v>
      </c>
      <c r="H3153" s="1" t="str">
        <f>"Результат"</f>
        <v>Результат</v>
      </c>
      <c r="I3153" s="1" t="str">
        <f>"Позитивний"</f>
        <v>Позитивний</v>
      </c>
      <c r="J3153" s="1" t="str">
        <f t="shared" si="519"/>
        <v>Так</v>
      </c>
    </row>
    <row r="3154" spans="1:10" ht="135" x14ac:dyDescent="0.25">
      <c r="A3154" s="1" t="str">
        <f>"3276-2020/27"</f>
        <v>3276-2020/27</v>
      </c>
      <c r="B3154" s="1" t="str">
        <f t="shared" si="520"/>
        <v>26.06.2020</v>
      </c>
      <c r="C3154" s="1" t="str">
        <f t="shared" si="517"/>
        <v>Закрито</v>
      </c>
      <c r="D3154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54" s="1" t="str">
        <f>"Земельні питання"</f>
        <v>Земельні питання</v>
      </c>
      <c r="F315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54" s="1" t="str">
        <f t="shared" si="521"/>
        <v>1</v>
      </c>
      <c r="H3154" s="1" t="str">
        <f>"Результат"</f>
        <v>Результат</v>
      </c>
      <c r="I3154" s="1" t="str">
        <f>"Позитивний"</f>
        <v>Позитивний</v>
      </c>
      <c r="J3154" s="1" t="str">
        <f t="shared" si="519"/>
        <v>Так</v>
      </c>
    </row>
    <row r="3155" spans="1:10" ht="45" x14ac:dyDescent="0.25">
      <c r="A3155" s="1" t="str">
        <f>"3281-2020/27"</f>
        <v>3281-2020/27</v>
      </c>
      <c r="B3155" s="1" t="str">
        <f t="shared" si="520"/>
        <v>26.06.2020</v>
      </c>
      <c r="C3155" s="1" t="str">
        <f t="shared" si="517"/>
        <v>Закрито</v>
      </c>
      <c r="D3155" s="1" t="str">
        <f>"Реєстрація місця проживання особи"</f>
        <v>Реєстрація місця проживання особи</v>
      </c>
      <c r="E3155" s="1" t="str">
        <f>"Реєстрація місця проживання"</f>
        <v>Реєстрація місця проживання</v>
      </c>
      <c r="F3155" s="1" t="str">
        <f>"Відділ реєстрації Новокаховської міської ради"</f>
        <v>Відділ реєстрації Новокаховської міської ради</v>
      </c>
      <c r="G3155" s="1" t="str">
        <f t="shared" si="521"/>
        <v>1</v>
      </c>
      <c r="H3155" s="1" t="str">
        <f>"Результат"</f>
        <v>Результат</v>
      </c>
      <c r="I3155" s="1" t="str">
        <f>"Позитивний"</f>
        <v>Позитивний</v>
      </c>
      <c r="J3155" s="1" t="str">
        <f t="shared" si="519"/>
        <v>Так</v>
      </c>
    </row>
    <row r="3156" spans="1:10" ht="135" x14ac:dyDescent="0.25">
      <c r="A3156" s="1" t="str">
        <f>"3293-2020/27"</f>
        <v>3293-2020/27</v>
      </c>
      <c r="B3156" s="1" t="str">
        <f t="shared" si="520"/>
        <v>26.06.2020</v>
      </c>
      <c r="C3156" s="1" t="str">
        <f t="shared" si="517"/>
        <v>Закрито</v>
      </c>
      <c r="D315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56" s="1" t="str">
        <f>"Земельні питання"</f>
        <v>Земельні питання</v>
      </c>
      <c r="F315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56" s="1" t="str">
        <f t="shared" si="521"/>
        <v>1</v>
      </c>
      <c r="H3156" s="1" t="str">
        <f>"Результат"</f>
        <v>Результат</v>
      </c>
      <c r="I3156" s="1" t="str">
        <f>"Позитивний"</f>
        <v>Позитивний</v>
      </c>
      <c r="J3156" s="1" t="str">
        <f t="shared" si="519"/>
        <v>Так</v>
      </c>
    </row>
    <row r="3157" spans="1:10" ht="135" x14ac:dyDescent="0.25">
      <c r="A3157" s="1" t="str">
        <f>"3277-2020/27"</f>
        <v>3277-2020/27</v>
      </c>
      <c r="B3157" s="1" t="str">
        <f t="shared" si="520"/>
        <v>26.06.2020</v>
      </c>
      <c r="C3157" s="1" t="str">
        <f t="shared" si="517"/>
        <v>Закрито</v>
      </c>
      <c r="D315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57" s="1" t="str">
        <f>"Земельні питання"</f>
        <v>Земельні питання</v>
      </c>
      <c r="F315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57" s="1" t="str">
        <f t="shared" si="521"/>
        <v>1</v>
      </c>
      <c r="H3157" s="1" t="str">
        <f>"Результат"</f>
        <v>Результат</v>
      </c>
      <c r="I3157" s="1" t="str">
        <f>"Позитивний"</f>
        <v>Позитивний</v>
      </c>
      <c r="J3157" s="1" t="str">
        <f t="shared" si="519"/>
        <v>Так</v>
      </c>
    </row>
    <row r="3158" spans="1:10" ht="45" x14ac:dyDescent="0.25">
      <c r="A3158" s="1" t="str">
        <f>"3282-2020/27"</f>
        <v>3282-2020/27</v>
      </c>
      <c r="B3158" s="1" t="str">
        <f t="shared" si="520"/>
        <v>26.06.2020</v>
      </c>
      <c r="C3158" s="1" t="str">
        <f t="shared" si="517"/>
        <v>Закрито</v>
      </c>
      <c r="D3158" s="1" t="str">
        <f>"Реєстрація місця проживання особи"</f>
        <v>Реєстрація місця проживання особи</v>
      </c>
      <c r="E3158" s="1" t="str">
        <f>"Реєстрація місця проживання"</f>
        <v>Реєстрація місця проживання</v>
      </c>
      <c r="F3158" s="1" t="str">
        <f>"Відділ реєстрації Новокаховської міської ради"</f>
        <v>Відділ реєстрації Новокаховської міської ради</v>
      </c>
      <c r="G3158" s="1" t="str">
        <f t="shared" si="521"/>
        <v>1</v>
      </c>
      <c r="H3158" s="1" t="str">
        <f>"Результат"</f>
        <v>Результат</v>
      </c>
      <c r="I3158" s="1" t="str">
        <f>"Позитивний"</f>
        <v>Позитивний</v>
      </c>
      <c r="J3158" s="1" t="str">
        <f t="shared" si="519"/>
        <v>Так</v>
      </c>
    </row>
    <row r="3159" spans="1:10" ht="135" x14ac:dyDescent="0.25">
      <c r="A3159" s="1" t="str">
        <f>"3291-2020/27"</f>
        <v>3291-2020/27</v>
      </c>
      <c r="B3159" s="1" t="str">
        <f t="shared" si="520"/>
        <v>26.06.2020</v>
      </c>
      <c r="C3159" s="1" t="str">
        <f t="shared" si="517"/>
        <v>Закрито</v>
      </c>
      <c r="D315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59" s="1" t="str">
        <f>"Земельні питання"</f>
        <v>Земельні питання</v>
      </c>
      <c r="F315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59" s="1" t="str">
        <f t="shared" si="521"/>
        <v>1</v>
      </c>
      <c r="H3159" s="1" t="str">
        <f>"Результат"</f>
        <v>Результат</v>
      </c>
      <c r="I3159" s="1" t="str">
        <f>"Позитивний"</f>
        <v>Позитивний</v>
      </c>
      <c r="J3159" s="1" t="str">
        <f t="shared" si="519"/>
        <v>Так</v>
      </c>
    </row>
    <row r="3160" spans="1:10" ht="135" x14ac:dyDescent="0.25">
      <c r="A3160" s="1" t="str">
        <f>"3294-2020/27"</f>
        <v>3294-2020/27</v>
      </c>
      <c r="B3160" s="1" t="str">
        <f t="shared" si="520"/>
        <v>26.06.2020</v>
      </c>
      <c r="C3160" s="1" t="str">
        <f t="shared" si="517"/>
        <v>Закрито</v>
      </c>
      <c r="D3160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60" s="1" t="str">
        <f>"Земельні питання"</f>
        <v>Земельні питання</v>
      </c>
      <c r="F316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60" s="1" t="str">
        <f t="shared" si="521"/>
        <v>1</v>
      </c>
      <c r="H3160" s="1" t="str">
        <f>"Результат"</f>
        <v>Результат</v>
      </c>
      <c r="I3160" s="1" t="str">
        <f>"Позитивний"</f>
        <v>Позитивний</v>
      </c>
      <c r="J3160" s="1" t="str">
        <f t="shared" si="519"/>
        <v>Так</v>
      </c>
    </row>
    <row r="3161" spans="1:10" ht="135" x14ac:dyDescent="0.25">
      <c r="A3161" s="1" t="str">
        <f>"3289-2020/27"</f>
        <v>3289-2020/27</v>
      </c>
      <c r="B3161" s="1" t="str">
        <f t="shared" si="520"/>
        <v>26.06.2020</v>
      </c>
      <c r="C3161" s="1" t="str">
        <f t="shared" si="517"/>
        <v>Закрито</v>
      </c>
      <c r="D316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161" s="1" t="str">
        <f>"Земельні питання"</f>
        <v>Земельні питання</v>
      </c>
      <c r="F316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61" s="1" t="str">
        <f>"14"</f>
        <v>14</v>
      </c>
      <c r="H3161" s="1" t="str">
        <f>"Результат"</f>
        <v>Результат</v>
      </c>
      <c r="I3161" s="1" t="str">
        <f>"Позитивний"</f>
        <v>Позитивний</v>
      </c>
      <c r="J3161" s="1" t="str">
        <f>"Ні"</f>
        <v>Ні</v>
      </c>
    </row>
    <row r="3162" spans="1:10" ht="45" x14ac:dyDescent="0.25">
      <c r="A3162" s="1" t="str">
        <f>"3273-2020/27"</f>
        <v>3273-2020/27</v>
      </c>
      <c r="B3162" s="1" t="str">
        <f t="shared" si="520"/>
        <v>26.06.2020</v>
      </c>
      <c r="C3162" s="1" t="str">
        <f t="shared" si="517"/>
        <v>Закрито</v>
      </c>
      <c r="D3162" s="1" t="str">
        <f>"Зняття з реєстрації місця проживання"</f>
        <v>Зняття з реєстрації місця проживання</v>
      </c>
      <c r="E3162" s="1" t="str">
        <f>"Реєстрація місця проживання"</f>
        <v>Реєстрація місця проживання</v>
      </c>
      <c r="F3162" s="1" t="str">
        <f>"Відділ реєстрації Новокаховської міської ради"</f>
        <v>Відділ реєстрації Новокаховської міської ради</v>
      </c>
      <c r="G3162" s="1" t="str">
        <f>"1"</f>
        <v>1</v>
      </c>
      <c r="H3162" s="1" t="str">
        <f>"Результат"</f>
        <v>Результат</v>
      </c>
      <c r="I3162" s="1" t="str">
        <f>"Позитивний"</f>
        <v>Позитивний</v>
      </c>
      <c r="J3162" s="1" t="str">
        <f>"Так"</f>
        <v>Так</v>
      </c>
    </row>
    <row r="3163" spans="1:10" ht="45" x14ac:dyDescent="0.25">
      <c r="A3163" s="1" t="str">
        <f>"3270-2020/27"</f>
        <v>3270-2020/27</v>
      </c>
      <c r="B3163" s="1" t="str">
        <f t="shared" si="520"/>
        <v>26.06.2020</v>
      </c>
      <c r="C3163" s="1" t="str">
        <f t="shared" si="517"/>
        <v>Закрито</v>
      </c>
      <c r="D3163" s="1" t="str">
        <f>"Реєстрація місця проживання особи"</f>
        <v>Реєстрація місця проживання особи</v>
      </c>
      <c r="E3163" s="1" t="str">
        <f>"Реєстрація місця проживання"</f>
        <v>Реєстрація місця проживання</v>
      </c>
      <c r="F3163" s="1" t="str">
        <f>"Відділ реєстрації Новокаховської міської ради"</f>
        <v>Відділ реєстрації Новокаховської міської ради</v>
      </c>
      <c r="G3163" s="1" t="str">
        <f>"1"</f>
        <v>1</v>
      </c>
      <c r="H3163" s="1" t="str">
        <f>"Результат"</f>
        <v>Результат</v>
      </c>
      <c r="I3163" s="1" t="str">
        <f>"Позитивний"</f>
        <v>Позитивний</v>
      </c>
      <c r="J3163" s="1" t="str">
        <f>"Так"</f>
        <v>Так</v>
      </c>
    </row>
    <row r="3164" spans="1:10" ht="225" x14ac:dyDescent="0.25">
      <c r="A3164" s="1" t="str">
        <f>"3269-2020/27"</f>
        <v>3269-2020/27</v>
      </c>
      <c r="B3164" s="1" t="str">
        <f t="shared" si="520"/>
        <v>26.06.2020</v>
      </c>
      <c r="C3164" s="1" t="str">
        <f>"На обробці в адмін. органі"</f>
        <v>На обробці в адмін. органі</v>
      </c>
      <c r="D3164" s="1" t="s">
        <v>1</v>
      </c>
      <c r="E3164" s="1" t="str">
        <f>"Будівництво"</f>
        <v>Будівництво</v>
      </c>
      <c r="F3164" s="1" t="str">
        <f>"Відділ державного архітектурно-будівельного контролю Новокаховської міської ради"</f>
        <v>Відділ державного архітектурно-будівельного контролю Новокаховської міської ради</v>
      </c>
      <c r="G3164" s="1" t="str">
        <f>"30"</f>
        <v>30</v>
      </c>
      <c r="H3164" s="1" t="str">
        <f>""</f>
        <v/>
      </c>
      <c r="I3164" s="1" t="str">
        <f>""</f>
        <v/>
      </c>
      <c r="J3164" s="1" t="str">
        <f>"Ні"</f>
        <v>Ні</v>
      </c>
    </row>
    <row r="3165" spans="1:10" ht="105" x14ac:dyDescent="0.25">
      <c r="A3165" s="1" t="str">
        <f>"3287-2020/27"</f>
        <v>3287-2020/27</v>
      </c>
      <c r="B3165" s="1" t="str">
        <f t="shared" si="520"/>
        <v>26.06.2020</v>
      </c>
      <c r="C3165" s="1" t="str">
        <f t="shared" ref="C3165:C3175" si="522">"Закрито"</f>
        <v>Закрито</v>
      </c>
      <c r="D3165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65" s="1" t="str">
        <f>"Земельні питання"</f>
        <v>Земельні питання</v>
      </c>
      <c r="F3165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165" s="1" t="str">
        <f t="shared" ref="G3165:G3174" si="523">"1"</f>
        <v>1</v>
      </c>
      <c r="H3165" s="1" t="str">
        <f>"Результат"</f>
        <v>Результат</v>
      </c>
      <c r="I3165" s="1" t="str">
        <f>"Позитивний"</f>
        <v>Позитивний</v>
      </c>
      <c r="J3165" s="1" t="str">
        <f t="shared" ref="J3165:J3174" si="524">"Так"</f>
        <v>Так</v>
      </c>
    </row>
    <row r="3166" spans="1:10" ht="135" x14ac:dyDescent="0.25">
      <c r="A3166" s="1" t="str">
        <f>"3295-2020/27"</f>
        <v>3295-2020/27</v>
      </c>
      <c r="B3166" s="1" t="str">
        <f t="shared" si="520"/>
        <v>26.06.2020</v>
      </c>
      <c r="C3166" s="1" t="str">
        <f t="shared" si="522"/>
        <v>Закрито</v>
      </c>
      <c r="D3166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66" s="1" t="str">
        <f>"Земельні питання"</f>
        <v>Земельні питання</v>
      </c>
      <c r="F316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66" s="1" t="str">
        <f t="shared" si="523"/>
        <v>1</v>
      </c>
      <c r="H3166" s="1" t="str">
        <f>"Результат"</f>
        <v>Результат</v>
      </c>
      <c r="I3166" s="1" t="str">
        <f>"Позитивний"</f>
        <v>Позитивний</v>
      </c>
      <c r="J3166" s="1" t="str">
        <f t="shared" si="524"/>
        <v>Так</v>
      </c>
    </row>
    <row r="3167" spans="1:10" ht="45" x14ac:dyDescent="0.25">
      <c r="A3167" s="1" t="str">
        <f>"3285-2020/27"</f>
        <v>3285-2020/27</v>
      </c>
      <c r="B3167" s="1" t="str">
        <f t="shared" si="520"/>
        <v>26.06.2020</v>
      </c>
      <c r="C3167" s="1" t="str">
        <f t="shared" si="522"/>
        <v>Закрито</v>
      </c>
      <c r="D3167" s="1" t="str">
        <f>"Реєстрація місця проживання особи"</f>
        <v>Реєстрація місця проживання особи</v>
      </c>
      <c r="E3167" s="1" t="str">
        <f>"Реєстрація місця проживання"</f>
        <v>Реєстрація місця проживання</v>
      </c>
      <c r="F3167" s="1" t="str">
        <f>"Відділ реєстрації Новокаховської міської ради"</f>
        <v>Відділ реєстрації Новокаховської міської ради</v>
      </c>
      <c r="G3167" s="1" t="str">
        <f t="shared" si="523"/>
        <v>1</v>
      </c>
      <c r="H3167" s="1" t="str">
        <f>"Результат"</f>
        <v>Результат</v>
      </c>
      <c r="I3167" s="1" t="str">
        <f>"Позитивний"</f>
        <v>Позитивний</v>
      </c>
      <c r="J3167" s="1" t="str">
        <f t="shared" si="524"/>
        <v>Так</v>
      </c>
    </row>
    <row r="3168" spans="1:10" ht="105" x14ac:dyDescent="0.25">
      <c r="A3168" s="1" t="str">
        <f>"3286-2020/27"</f>
        <v>3286-2020/27</v>
      </c>
      <c r="B3168" s="1" t="str">
        <f t="shared" si="520"/>
        <v>26.06.2020</v>
      </c>
      <c r="C3168" s="1" t="str">
        <f t="shared" si="522"/>
        <v>Закрито</v>
      </c>
      <c r="D3168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68" s="1" t="str">
        <f>"Земельні питання"</f>
        <v>Земельні питання</v>
      </c>
      <c r="F3168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168" s="1" t="str">
        <f t="shared" si="523"/>
        <v>1</v>
      </c>
      <c r="H3168" s="1" t="str">
        <f>"Результат"</f>
        <v>Результат</v>
      </c>
      <c r="I3168" s="1" t="str">
        <f>"Позитивний"</f>
        <v>Позитивний</v>
      </c>
      <c r="J3168" s="1" t="str">
        <f t="shared" si="524"/>
        <v>Так</v>
      </c>
    </row>
    <row r="3169" spans="1:10" ht="45" x14ac:dyDescent="0.25">
      <c r="A3169" s="1" t="str">
        <f>"3268-2020/27"</f>
        <v>3268-2020/27</v>
      </c>
      <c r="B3169" s="1" t="str">
        <f t="shared" si="520"/>
        <v>26.06.2020</v>
      </c>
      <c r="C3169" s="1" t="str">
        <f t="shared" si="522"/>
        <v>Закрито</v>
      </c>
      <c r="D3169" s="1" t="str">
        <f>"Реєстрація місця проживання особи"</f>
        <v>Реєстрація місця проживання особи</v>
      </c>
      <c r="E3169" s="1" t="str">
        <f>"Реєстрація місця проживання"</f>
        <v>Реєстрація місця проживання</v>
      </c>
      <c r="F3169" s="1" t="str">
        <f>"Відділ реєстрації Новокаховської міської ради"</f>
        <v>Відділ реєстрації Новокаховської міської ради</v>
      </c>
      <c r="G3169" s="1" t="str">
        <f t="shared" si="523"/>
        <v>1</v>
      </c>
      <c r="H3169" s="1" t="str">
        <f>"Результат"</f>
        <v>Результат</v>
      </c>
      <c r="I3169" s="1" t="str">
        <f>"Позитивний"</f>
        <v>Позитивний</v>
      </c>
      <c r="J3169" s="1" t="str">
        <f t="shared" si="524"/>
        <v>Так</v>
      </c>
    </row>
    <row r="3170" spans="1:10" ht="45" x14ac:dyDescent="0.25">
      <c r="A3170" s="1" t="str">
        <f>"3279-2020/27"</f>
        <v>3279-2020/27</v>
      </c>
      <c r="B3170" s="1" t="str">
        <f t="shared" si="520"/>
        <v>26.06.2020</v>
      </c>
      <c r="C3170" s="1" t="str">
        <f t="shared" si="522"/>
        <v>Закрито</v>
      </c>
      <c r="D3170" s="1" t="str">
        <f>"Реєстрація місця проживання особи"</f>
        <v>Реєстрація місця проживання особи</v>
      </c>
      <c r="E3170" s="1" t="str">
        <f>"Реєстрація місця проживання"</f>
        <v>Реєстрація місця проживання</v>
      </c>
      <c r="F3170" s="1" t="str">
        <f>"Відділ реєстрації Новокаховської міської ради"</f>
        <v>Відділ реєстрації Новокаховської міської ради</v>
      </c>
      <c r="G3170" s="1" t="str">
        <f t="shared" si="523"/>
        <v>1</v>
      </c>
      <c r="H3170" s="1" t="str">
        <f>"Результат"</f>
        <v>Результат</v>
      </c>
      <c r="I3170" s="1" t="str">
        <f>"Позитивний"</f>
        <v>Позитивний</v>
      </c>
      <c r="J3170" s="1" t="str">
        <f t="shared" si="524"/>
        <v>Так</v>
      </c>
    </row>
    <row r="3171" spans="1:10" ht="45" x14ac:dyDescent="0.25">
      <c r="A3171" s="1" t="str">
        <f>"3272-2020/27"</f>
        <v>3272-2020/27</v>
      </c>
      <c r="B3171" s="1" t="str">
        <f t="shared" si="520"/>
        <v>26.06.2020</v>
      </c>
      <c r="C3171" s="1" t="str">
        <f t="shared" si="522"/>
        <v>Закрито</v>
      </c>
      <c r="D3171" s="1" t="str">
        <f>"Реєстрація місця проживання особи"</f>
        <v>Реєстрація місця проживання особи</v>
      </c>
      <c r="E3171" s="1" t="str">
        <f>"Реєстрація місця проживання"</f>
        <v>Реєстрація місця проживання</v>
      </c>
      <c r="F3171" s="1" t="str">
        <f>"Відділ реєстрації Новокаховської міської ради"</f>
        <v>Відділ реєстрації Новокаховської міської ради</v>
      </c>
      <c r="G3171" s="1" t="str">
        <f t="shared" si="523"/>
        <v>1</v>
      </c>
      <c r="H3171" s="1" t="str">
        <f>"Результат"</f>
        <v>Результат</v>
      </c>
      <c r="I3171" s="1" t="str">
        <f>"Позитивний"</f>
        <v>Позитивний</v>
      </c>
      <c r="J3171" s="1" t="str">
        <f t="shared" si="524"/>
        <v>Так</v>
      </c>
    </row>
    <row r="3172" spans="1:10" ht="135" x14ac:dyDescent="0.25">
      <c r="A3172" s="1" t="str">
        <f>"3274-2020/27"</f>
        <v>3274-2020/27</v>
      </c>
      <c r="B3172" s="1" t="str">
        <f t="shared" si="520"/>
        <v>26.06.2020</v>
      </c>
      <c r="C3172" s="1" t="str">
        <f t="shared" si="522"/>
        <v>Закрито</v>
      </c>
      <c r="D3172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72" s="1" t="str">
        <f>"Земельні питання"</f>
        <v>Земельні питання</v>
      </c>
      <c r="F317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72" s="1" t="str">
        <f t="shared" si="523"/>
        <v>1</v>
      </c>
      <c r="H3172" s="1" t="str">
        <f>"Результат"</f>
        <v>Результат</v>
      </c>
      <c r="I3172" s="1" t="str">
        <f>"Позитивний"</f>
        <v>Позитивний</v>
      </c>
      <c r="J3172" s="1" t="str">
        <f t="shared" si="524"/>
        <v>Так</v>
      </c>
    </row>
    <row r="3173" spans="1:10" ht="135" x14ac:dyDescent="0.25">
      <c r="A3173" s="1" t="str">
        <f>"3296-2020/27"</f>
        <v>3296-2020/27</v>
      </c>
      <c r="B3173" s="1" t="str">
        <f t="shared" si="520"/>
        <v>26.06.2020</v>
      </c>
      <c r="C3173" s="1" t="str">
        <f t="shared" si="522"/>
        <v>Закрито</v>
      </c>
      <c r="D317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73" s="1" t="str">
        <f>"Земельні питання"</f>
        <v>Земельні питання</v>
      </c>
      <c r="F317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73" s="1" t="str">
        <f t="shared" si="523"/>
        <v>1</v>
      </c>
      <c r="H3173" s="1" t="str">
        <f>"Результат"</f>
        <v>Результат</v>
      </c>
      <c r="I3173" s="1" t="str">
        <f>"Позитивний"</f>
        <v>Позитивний</v>
      </c>
      <c r="J3173" s="1" t="str">
        <f t="shared" si="524"/>
        <v>Так</v>
      </c>
    </row>
    <row r="3174" spans="1:10" ht="45" x14ac:dyDescent="0.25">
      <c r="A3174" s="1" t="str">
        <f>"3278-2020/27"</f>
        <v>3278-2020/27</v>
      </c>
      <c r="B3174" s="1" t="str">
        <f t="shared" si="520"/>
        <v>26.06.2020</v>
      </c>
      <c r="C3174" s="1" t="str">
        <f t="shared" si="522"/>
        <v>Закрито</v>
      </c>
      <c r="D3174" s="1" t="str">
        <f>"Реєстрація місця проживання особи"</f>
        <v>Реєстрація місця проживання особи</v>
      </c>
      <c r="E3174" s="1" t="str">
        <f>"Реєстрація місця проживання"</f>
        <v>Реєстрація місця проживання</v>
      </c>
      <c r="F3174" s="1" t="str">
        <f>"Відділ реєстрації Новокаховської міської ради"</f>
        <v>Відділ реєстрації Новокаховської міської ради</v>
      </c>
      <c r="G3174" s="1" t="str">
        <f t="shared" si="523"/>
        <v>1</v>
      </c>
      <c r="H3174" s="1" t="str">
        <f>"Результат"</f>
        <v>Результат</v>
      </c>
      <c r="I3174" s="1" t="str">
        <f>"Позитивний"</f>
        <v>Позитивний</v>
      </c>
      <c r="J3174" s="1" t="str">
        <f t="shared" si="524"/>
        <v>Так</v>
      </c>
    </row>
    <row r="3175" spans="1:10" ht="90" x14ac:dyDescent="0.25">
      <c r="A3175" s="1" t="str">
        <f>"3275-2020/27"</f>
        <v>3275-2020/27</v>
      </c>
      <c r="B3175" s="1" t="str">
        <f t="shared" si="520"/>
        <v>26.06.2020</v>
      </c>
      <c r="C3175" s="1" t="str">
        <f t="shared" si="522"/>
        <v>Закрито</v>
      </c>
      <c r="D317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75" s="1" t="str">
        <f>"Інші послуги"</f>
        <v>Інші послуги</v>
      </c>
      <c r="F317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75" s="1" t="str">
        <f>"5"</f>
        <v>5</v>
      </c>
      <c r="H3175" s="1" t="str">
        <f>"Результат"</f>
        <v>Результат</v>
      </c>
      <c r="I3175" s="1" t="str">
        <f>"Позитивний"</f>
        <v>Позитивний</v>
      </c>
      <c r="J3175" s="1" t="str">
        <f>"Ні"</f>
        <v>Ні</v>
      </c>
    </row>
    <row r="3176" spans="1:10" ht="90" x14ac:dyDescent="0.25">
      <c r="A3176" s="1" t="str">
        <f>"3302-2020/27"</f>
        <v>3302-2020/27</v>
      </c>
      <c r="B3176" s="1" t="str">
        <f t="shared" ref="B3176:B3205" si="525">"30.06.2020"</f>
        <v>30.06.2020</v>
      </c>
      <c r="C3176" s="1" t="str">
        <f>"На обробці в адмін. органі"</f>
        <v>На обробці в адмін. органі</v>
      </c>
      <c r="D3176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76" s="1" t="str">
        <f>"Інші послуги"</f>
        <v>Інші послуги</v>
      </c>
      <c r="F3176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76" s="1" t="str">
        <f>"5"</f>
        <v>5</v>
      </c>
      <c r="H3176" s="1" t="str">
        <f>""</f>
        <v/>
      </c>
      <c r="I3176" s="1" t="str">
        <f>""</f>
        <v/>
      </c>
      <c r="J3176" s="1" t="str">
        <f>"Ні"</f>
        <v>Ні</v>
      </c>
    </row>
    <row r="3177" spans="1:10" ht="135" x14ac:dyDescent="0.25">
      <c r="A3177" s="1" t="str">
        <f>"3317-2020/27"</f>
        <v>3317-2020/27</v>
      </c>
      <c r="B3177" s="1" t="str">
        <f t="shared" si="525"/>
        <v>30.06.2020</v>
      </c>
      <c r="C3177" s="1" t="str">
        <f>"Закрито"</f>
        <v>Закрито</v>
      </c>
      <c r="D3177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77" s="1" t="str">
        <f>"Земельні питання"</f>
        <v>Земельні питання</v>
      </c>
      <c r="F3177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77" s="1" t="str">
        <f>"1"</f>
        <v>1</v>
      </c>
      <c r="H3177" s="1" t="str">
        <f>"Результат"</f>
        <v>Результат</v>
      </c>
      <c r="I3177" s="1" t="str">
        <f>"Позитивний"</f>
        <v>Позитивний</v>
      </c>
      <c r="J3177" s="1" t="str">
        <f>"Так"</f>
        <v>Так</v>
      </c>
    </row>
    <row r="3178" spans="1:10" ht="135" x14ac:dyDescent="0.25">
      <c r="A3178" s="1" t="str">
        <f>"3323-2020/27"</f>
        <v>3323-2020/27</v>
      </c>
      <c r="B3178" s="1" t="str">
        <f t="shared" si="525"/>
        <v>30.06.2020</v>
      </c>
      <c r="C3178" s="1" t="str">
        <f>"Закрито"</f>
        <v>Закрито</v>
      </c>
      <c r="D3178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178" s="1" t="str">
        <f>"Земельні питання"</f>
        <v>Земельні питання</v>
      </c>
      <c r="F317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78" s="1" t="str">
        <f>"14"</f>
        <v>14</v>
      </c>
      <c r="H3178" s="1" t="str">
        <f>"Результат"</f>
        <v>Результат</v>
      </c>
      <c r="I3178" s="1" t="str">
        <f>"Позитивний"</f>
        <v>Позитивний</v>
      </c>
      <c r="J3178" s="1" t="str">
        <f>"Ні"</f>
        <v>Ні</v>
      </c>
    </row>
    <row r="3179" spans="1:10" ht="45" x14ac:dyDescent="0.25">
      <c r="A3179" s="1" t="str">
        <f>"3300-2020/27"</f>
        <v>3300-2020/27</v>
      </c>
      <c r="B3179" s="1" t="str">
        <f t="shared" si="525"/>
        <v>30.06.2020</v>
      </c>
      <c r="C3179" s="1" t="str">
        <f>"Закрито"</f>
        <v>Закрито</v>
      </c>
      <c r="D3179" s="1" t="str">
        <f>"Зняття з реєстрації місця проживання"</f>
        <v>Зняття з реєстрації місця проживання</v>
      </c>
      <c r="E3179" s="1" t="str">
        <f>"Реєстрація місця проживання"</f>
        <v>Реєстрація місця проживання</v>
      </c>
      <c r="F3179" s="1" t="str">
        <f>"Відділ реєстрації Новокаховської міської ради"</f>
        <v>Відділ реєстрації Новокаховської міської ради</v>
      </c>
      <c r="G3179" s="1" t="str">
        <f>"1"</f>
        <v>1</v>
      </c>
      <c r="H3179" s="1" t="str">
        <f>"Результат"</f>
        <v>Результат</v>
      </c>
      <c r="I3179" s="1" t="str">
        <f>"Позитивний"</f>
        <v>Позитивний</v>
      </c>
      <c r="J3179" s="1" t="str">
        <f>"Так"</f>
        <v>Так</v>
      </c>
    </row>
    <row r="3180" spans="1:10" ht="135" x14ac:dyDescent="0.25">
      <c r="A3180" s="1" t="str">
        <f>"3325-2020/27"</f>
        <v>3325-2020/27</v>
      </c>
      <c r="B3180" s="1" t="str">
        <f t="shared" si="525"/>
        <v>30.06.2020</v>
      </c>
      <c r="C3180" s="1" t="str">
        <f>"Закрито"</f>
        <v>Закрито</v>
      </c>
      <c r="D3180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180" s="1" t="str">
        <f>"Земельні питання"</f>
        <v>Земельні питання</v>
      </c>
      <c r="F3180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80" s="1" t="str">
        <f>"14"</f>
        <v>14</v>
      </c>
      <c r="H3180" s="1" t="str">
        <f>"Результат"</f>
        <v>Результат</v>
      </c>
      <c r="I3180" s="1" t="str">
        <f>"Позитивний"</f>
        <v>Позитивний</v>
      </c>
      <c r="J3180" s="1" t="str">
        <f>"Ні"</f>
        <v>Ні</v>
      </c>
    </row>
    <row r="3181" spans="1:10" ht="90" x14ac:dyDescent="0.25">
      <c r="A3181" s="1" t="str">
        <f>"3303-2020/27"</f>
        <v>3303-2020/27</v>
      </c>
      <c r="B3181" s="1" t="str">
        <f t="shared" si="525"/>
        <v>30.06.2020</v>
      </c>
      <c r="C3181" s="1" t="str">
        <f>"На обробці в адмін. органі"</f>
        <v>На обробці в адмін. органі</v>
      </c>
      <c r="D3181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81" s="1" t="str">
        <f>"Інші послуги"</f>
        <v>Інші послуги</v>
      </c>
      <c r="F3181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81" s="1" t="str">
        <f>"5"</f>
        <v>5</v>
      </c>
      <c r="H3181" s="1" t="str">
        <f>""</f>
        <v/>
      </c>
      <c r="I3181" s="1" t="str">
        <f>""</f>
        <v/>
      </c>
      <c r="J3181" s="1" t="str">
        <f>"Ні"</f>
        <v>Ні</v>
      </c>
    </row>
    <row r="3182" spans="1:10" ht="45" x14ac:dyDescent="0.25">
      <c r="A3182" s="1" t="str">
        <f>"3305-2020/27"</f>
        <v>3305-2020/27</v>
      </c>
      <c r="B3182" s="1" t="str">
        <f t="shared" si="525"/>
        <v>30.06.2020</v>
      </c>
      <c r="C3182" s="1" t="str">
        <f>"Закрито"</f>
        <v>Закрито</v>
      </c>
      <c r="D3182" s="1" t="str">
        <f>"Реєстрація місця проживання особи"</f>
        <v>Реєстрація місця проживання особи</v>
      </c>
      <c r="E3182" s="1" t="str">
        <f>"Реєстрація місця проживання"</f>
        <v>Реєстрація місця проживання</v>
      </c>
      <c r="F3182" s="1" t="str">
        <f>"Відділ реєстрації Новокаховської міської ради"</f>
        <v>Відділ реєстрації Новокаховської міської ради</v>
      </c>
      <c r="G3182" s="1" t="str">
        <f>"1"</f>
        <v>1</v>
      </c>
      <c r="H3182" s="1" t="str">
        <f>"Результат"</f>
        <v>Результат</v>
      </c>
      <c r="I3182" s="1" t="str">
        <f>"Позитивний"</f>
        <v>Позитивний</v>
      </c>
      <c r="J3182" s="1" t="str">
        <f>"Так"</f>
        <v>Так</v>
      </c>
    </row>
    <row r="3183" spans="1:10" ht="105" x14ac:dyDescent="0.25">
      <c r="A3183" s="1" t="str">
        <f>"3312-2020/27"</f>
        <v>3312-2020/27</v>
      </c>
      <c r="B3183" s="1" t="str">
        <f t="shared" si="525"/>
        <v>30.06.2020</v>
      </c>
      <c r="C3183" s="1" t="str">
        <f>"Закрито"</f>
        <v>Закрито</v>
      </c>
      <c r="D3183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83" s="1" t="str">
        <f>"Земельні питання"</f>
        <v>Земельні питання</v>
      </c>
      <c r="F3183" s="1" t="str">
        <f>"Центр надання адміністративних послуг виконавчого комітету Новокаховської міської ради"</f>
        <v>Центр надання адміністративних послуг виконавчого комітету Новокаховської міської ради</v>
      </c>
      <c r="G3183" s="1" t="str">
        <f>"1"</f>
        <v>1</v>
      </c>
      <c r="H3183" s="1" t="str">
        <f>"Результат"</f>
        <v>Результат</v>
      </c>
      <c r="I3183" s="1" t="str">
        <f>"Позитивний"</f>
        <v>Позитивний</v>
      </c>
      <c r="J3183" s="1" t="str">
        <f>"Так"</f>
        <v>Так</v>
      </c>
    </row>
    <row r="3184" spans="1:10" ht="45" x14ac:dyDescent="0.25">
      <c r="A3184" s="1" t="str">
        <f>"3304-2020/27"</f>
        <v>3304-2020/27</v>
      </c>
      <c r="B3184" s="1" t="str">
        <f t="shared" si="525"/>
        <v>30.06.2020</v>
      </c>
      <c r="C3184" s="1" t="str">
        <f>"Закрито"</f>
        <v>Закрито</v>
      </c>
      <c r="D3184" s="1" t="str">
        <f>"Зняття з реєстрації місця проживання"</f>
        <v>Зняття з реєстрації місця проживання</v>
      </c>
      <c r="E3184" s="1" t="str">
        <f>"Реєстрація місця проживання"</f>
        <v>Реєстрація місця проживання</v>
      </c>
      <c r="F3184" s="1" t="str">
        <f>"Відділ реєстрації Новокаховської міської ради"</f>
        <v>Відділ реєстрації Новокаховської міської ради</v>
      </c>
      <c r="G3184" s="1" t="str">
        <f>"1"</f>
        <v>1</v>
      </c>
      <c r="H3184" s="1" t="str">
        <f>"Результат"</f>
        <v>Результат</v>
      </c>
      <c r="I3184" s="1" t="str">
        <f>"Позитивний"</f>
        <v>Позитивний</v>
      </c>
      <c r="J3184" s="1" t="str">
        <f>"Так"</f>
        <v>Так</v>
      </c>
    </row>
    <row r="3185" spans="1:10" ht="90" x14ac:dyDescent="0.25">
      <c r="A3185" s="1" t="str">
        <f>"3301-2020/27"</f>
        <v>3301-2020/27</v>
      </c>
      <c r="B3185" s="1" t="str">
        <f t="shared" si="525"/>
        <v>30.06.2020</v>
      </c>
      <c r="C3185" s="1" t="str">
        <f>"На обробці в адмін. органі"</f>
        <v>На обробці в адмін. органі</v>
      </c>
      <c r="D3185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85" s="1" t="str">
        <f>"Інші послуги"</f>
        <v>Інші послуги</v>
      </c>
      <c r="F3185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85" s="1" t="str">
        <f>"5"</f>
        <v>5</v>
      </c>
      <c r="H3185" s="1" t="str">
        <f>""</f>
        <v/>
      </c>
      <c r="I3185" s="1" t="str">
        <f>""</f>
        <v/>
      </c>
      <c r="J3185" s="1" t="str">
        <f>"Ні"</f>
        <v>Ні</v>
      </c>
    </row>
    <row r="3186" spans="1:10" ht="135" x14ac:dyDescent="0.25">
      <c r="A3186" s="1" t="str">
        <f>"3320-2020/27"</f>
        <v>3320-2020/27</v>
      </c>
      <c r="B3186" s="1" t="str">
        <f t="shared" si="525"/>
        <v>30.06.2020</v>
      </c>
      <c r="C3186" s="1" t="str">
        <f>"Закрито"</f>
        <v>Закрито</v>
      </c>
      <c r="D3186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3186" s="1" t="str">
        <f>"Земельні питання"</f>
        <v>Земельні питання</v>
      </c>
      <c r="F3186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86" s="1" t="str">
        <f>"14"</f>
        <v>14</v>
      </c>
      <c r="H3186" s="1" t="str">
        <f>"Результат"</f>
        <v>Результат</v>
      </c>
      <c r="I3186" s="1" t="str">
        <f>"Мотивована відмова"</f>
        <v>Мотивована відмова</v>
      </c>
      <c r="J3186" s="1" t="str">
        <f>"Ні"</f>
        <v>Ні</v>
      </c>
    </row>
    <row r="3187" spans="1:10" ht="90" x14ac:dyDescent="0.25">
      <c r="A3187" s="1" t="str">
        <f>"3310-2020/27"</f>
        <v>3310-2020/27</v>
      </c>
      <c r="B3187" s="1" t="str">
        <f t="shared" si="525"/>
        <v>30.06.2020</v>
      </c>
      <c r="C3187" s="1" t="str">
        <f>"На обробці в адмін. органі"</f>
        <v>На обробці в адмін. органі</v>
      </c>
      <c r="D3187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87" s="1" t="str">
        <f>"Інші послуги"</f>
        <v>Інші послуги</v>
      </c>
      <c r="F3187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87" s="1" t="str">
        <f>"5"</f>
        <v>5</v>
      </c>
      <c r="H3187" s="1" t="str">
        <f>""</f>
        <v/>
      </c>
      <c r="I3187" s="1" t="str">
        <f>""</f>
        <v/>
      </c>
      <c r="J3187" s="1" t="str">
        <f>"Ні"</f>
        <v>Ні</v>
      </c>
    </row>
    <row r="3188" spans="1:10" ht="45" x14ac:dyDescent="0.25">
      <c r="A3188" s="1" t="str">
        <f>"3311-2020/27"</f>
        <v>3311-2020/27</v>
      </c>
      <c r="B3188" s="1" t="str">
        <f t="shared" si="525"/>
        <v>30.06.2020</v>
      </c>
      <c r="C3188" s="1" t="str">
        <f>"Закрито"</f>
        <v>Закрито</v>
      </c>
      <c r="D3188" s="1" t="str">
        <f>"Зняття з реєстрації місця проживання"</f>
        <v>Зняття з реєстрації місця проживання</v>
      </c>
      <c r="E3188" s="1" t="str">
        <f>"Реєстрація місця проживання"</f>
        <v>Реєстрація місця проживання</v>
      </c>
      <c r="F3188" s="1" t="str">
        <f>"Відділ реєстрації Новокаховської міської ради"</f>
        <v>Відділ реєстрації Новокаховської міської ради</v>
      </c>
      <c r="G3188" s="1" t="str">
        <f>"1"</f>
        <v>1</v>
      </c>
      <c r="H3188" s="1" t="str">
        <f>"Результат"</f>
        <v>Результат</v>
      </c>
      <c r="I3188" s="1" t="str">
        <f>"Позитивний"</f>
        <v>Позитивний</v>
      </c>
      <c r="J3188" s="1" t="str">
        <f>"Так"</f>
        <v>Так</v>
      </c>
    </row>
    <row r="3189" spans="1:10" ht="45" x14ac:dyDescent="0.25">
      <c r="A3189" s="1" t="str">
        <f>"3314-2020/27"</f>
        <v>3314-2020/27</v>
      </c>
      <c r="B3189" s="1" t="str">
        <f t="shared" si="525"/>
        <v>30.06.2020</v>
      </c>
      <c r="C3189" s="1" t="str">
        <f>"Закрито"</f>
        <v>Закрито</v>
      </c>
      <c r="D3189" s="1" t="str">
        <f>"Зняття з реєстрації місця проживання"</f>
        <v>Зняття з реєстрації місця проживання</v>
      </c>
      <c r="E3189" s="1" t="str">
        <f>"Реєстрація місця проживання"</f>
        <v>Реєстрація місця проживання</v>
      </c>
      <c r="F3189" s="1" t="str">
        <f>"Відділ реєстрації Новокаховської міської ради"</f>
        <v>Відділ реєстрації Новокаховської міської ради</v>
      </c>
      <c r="G3189" s="1" t="str">
        <f>"1"</f>
        <v>1</v>
      </c>
      <c r="H3189" s="1" t="str">
        <f>"Результат"</f>
        <v>Результат</v>
      </c>
      <c r="I3189" s="1" t="str">
        <f>"Позитивний"</f>
        <v>Позитивний</v>
      </c>
      <c r="J3189" s="1" t="str">
        <f>"Так"</f>
        <v>Так</v>
      </c>
    </row>
    <row r="3190" spans="1:10" ht="45" x14ac:dyDescent="0.25">
      <c r="A3190" s="1" t="str">
        <f>"3308-2020/27"</f>
        <v>3308-2020/27</v>
      </c>
      <c r="B3190" s="1" t="str">
        <f t="shared" si="525"/>
        <v>30.06.2020</v>
      </c>
      <c r="C3190" s="1" t="str">
        <f>"Закрито"</f>
        <v>Закрито</v>
      </c>
      <c r="D3190" s="1" t="str">
        <f>"Реєстрація місця проживання особи"</f>
        <v>Реєстрація місця проживання особи</v>
      </c>
      <c r="E3190" s="1" t="str">
        <f>"Реєстрація місця проживання"</f>
        <v>Реєстрація місця проживання</v>
      </c>
      <c r="F3190" s="1" t="str">
        <f>"Відділ реєстрації Новокаховської міської ради"</f>
        <v>Відділ реєстрації Новокаховської міської ради</v>
      </c>
      <c r="G3190" s="1" t="str">
        <f>"1"</f>
        <v>1</v>
      </c>
      <c r="H3190" s="1" t="str">
        <f>"Результат"</f>
        <v>Результат</v>
      </c>
      <c r="I3190" s="1" t="str">
        <f>"Позитивний"</f>
        <v>Позитивний</v>
      </c>
      <c r="J3190" s="1" t="str">
        <f>"Так"</f>
        <v>Так</v>
      </c>
    </row>
    <row r="3191" spans="1:10" ht="135" x14ac:dyDescent="0.25">
      <c r="A3191" s="1" t="str">
        <f>"3319-2020/27"</f>
        <v>3319-2020/27</v>
      </c>
      <c r="B3191" s="1" t="str">
        <f t="shared" si="525"/>
        <v>30.06.2020</v>
      </c>
      <c r="C3191" s="1" t="str">
        <f>"Закрито"</f>
        <v>Закрито</v>
      </c>
      <c r="D3191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191" s="1" t="str">
        <f>"Земельні питання"</f>
        <v>Земельні питання</v>
      </c>
      <c r="F3191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91" s="1" t="str">
        <f>"14"</f>
        <v>14</v>
      </c>
      <c r="H3191" s="1" t="str">
        <f>"Результат"</f>
        <v>Результат</v>
      </c>
      <c r="I3191" s="1" t="str">
        <f>"Позитивний"</f>
        <v>Позитивний</v>
      </c>
      <c r="J3191" s="1" t="str">
        <f>"Ні"</f>
        <v>Ні</v>
      </c>
    </row>
    <row r="3192" spans="1:10" ht="135" x14ac:dyDescent="0.25">
      <c r="A3192" s="1" t="str">
        <f>"3306-2020/27"</f>
        <v>3306-2020/27</v>
      </c>
      <c r="B3192" s="1" t="str">
        <f t="shared" si="525"/>
        <v>30.06.2020</v>
      </c>
      <c r="C3192" s="1" t="str">
        <f>"Закрито"</f>
        <v>Закрито</v>
      </c>
      <c r="D3192" s="1" t="str">
        <f>"Видача відомостей з документації із землеустрою, що включена до Державного фонду документації із землеустрою"</f>
        <v>Видача відомостей з документації із землеустрою, що включена до Державного фонду документації із землеустрою</v>
      </c>
      <c r="E3192" s="1" t="str">
        <f>"Земельні питання"</f>
        <v>Земельні питання</v>
      </c>
      <c r="F3192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92" s="1" t="str">
        <f>"10"</f>
        <v>10</v>
      </c>
      <c r="H3192" s="1" t="str">
        <f>"Результат"</f>
        <v>Результат</v>
      </c>
      <c r="I3192" s="1" t="str">
        <f>"Позитивний"</f>
        <v>Позитивний</v>
      </c>
      <c r="J3192" s="1" t="str">
        <f>"Ні"</f>
        <v>Ні</v>
      </c>
    </row>
    <row r="3193" spans="1:10" ht="90" x14ac:dyDescent="0.25">
      <c r="A3193" s="1" t="str">
        <f>"3307-2020/27"</f>
        <v>3307-2020/27</v>
      </c>
      <c r="B3193" s="1" t="str">
        <f t="shared" si="525"/>
        <v>30.06.2020</v>
      </c>
      <c r="C3193" s="1" t="str">
        <f>"На обробці в адмін. органі"</f>
        <v>На обробці в адмін. органі</v>
      </c>
      <c r="D3193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93" s="1" t="str">
        <f>"Інші послуги"</f>
        <v>Інші послуги</v>
      </c>
      <c r="F3193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93" s="1" t="str">
        <f>"5"</f>
        <v>5</v>
      </c>
      <c r="H3193" s="1" t="str">
        <f>""</f>
        <v/>
      </c>
      <c r="I3193" s="1" t="str">
        <f>""</f>
        <v/>
      </c>
      <c r="J3193" s="1" t="str">
        <f>"Ні"</f>
        <v>Ні</v>
      </c>
    </row>
    <row r="3194" spans="1:10" ht="90" x14ac:dyDescent="0.25">
      <c r="A3194" s="1" t="str">
        <f>"3297-2020/27"</f>
        <v>3297-2020/27</v>
      </c>
      <c r="B3194" s="1" t="str">
        <f t="shared" si="525"/>
        <v>30.06.2020</v>
      </c>
      <c r="C3194" s="1" t="str">
        <f>"На обробці в адмін. органі"</f>
        <v>На обробці в адмін. органі</v>
      </c>
      <c r="D3194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194" s="1" t="str">
        <f>"Інші послуги"</f>
        <v>Інші послуги</v>
      </c>
      <c r="F3194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194" s="1" t="str">
        <f>"5"</f>
        <v>5</v>
      </c>
      <c r="H3194" s="1" t="str">
        <f>""</f>
        <v/>
      </c>
      <c r="I3194" s="1" t="str">
        <f>""</f>
        <v/>
      </c>
      <c r="J3194" s="1" t="str">
        <f>"Ні"</f>
        <v>Ні</v>
      </c>
    </row>
    <row r="3195" spans="1:10" ht="135" x14ac:dyDescent="0.25">
      <c r="A3195" s="1" t="str">
        <f>"3326-2020/27"</f>
        <v>3326-2020/27</v>
      </c>
      <c r="B3195" s="1" t="str">
        <f t="shared" si="525"/>
        <v>30.06.2020</v>
      </c>
      <c r="C3195" s="1" t="str">
        <f>"Закрито"</f>
        <v>Закрито</v>
      </c>
      <c r="D3195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195" s="1" t="str">
        <f>"Земельні питання"</f>
        <v>Земельні питання</v>
      </c>
      <c r="F3195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95" s="1" t="str">
        <f>"14"</f>
        <v>14</v>
      </c>
      <c r="H3195" s="1" t="str">
        <f>"Результат"</f>
        <v>Результат</v>
      </c>
      <c r="I3195" s="1" t="str">
        <f>"Позитивний"</f>
        <v>Позитивний</v>
      </c>
      <c r="J3195" s="1" t="str">
        <f>"Ні"</f>
        <v>Ні</v>
      </c>
    </row>
    <row r="3196" spans="1:10" ht="45" x14ac:dyDescent="0.25">
      <c r="A3196" s="1" t="str">
        <f>"3316-2020/27"</f>
        <v>3316-2020/27</v>
      </c>
      <c r="B3196" s="1" t="str">
        <f t="shared" si="525"/>
        <v>30.06.2020</v>
      </c>
      <c r="C3196" s="1" t="str">
        <f>"Закрито"</f>
        <v>Закрито</v>
      </c>
      <c r="D3196" s="1" t="str">
        <f>"Реєстрація місця проживання особи"</f>
        <v>Реєстрація місця проживання особи</v>
      </c>
      <c r="E3196" s="1" t="str">
        <f>"Реєстрація місця проживання"</f>
        <v>Реєстрація місця проживання</v>
      </c>
      <c r="F3196" s="1" t="str">
        <f>"Відділ реєстрації Новокаховської міської ради"</f>
        <v>Відділ реєстрації Новокаховської міської ради</v>
      </c>
      <c r="G3196" s="1" t="str">
        <f>"1"</f>
        <v>1</v>
      </c>
      <c r="H3196" s="1" t="str">
        <f>"Результат"</f>
        <v>Результат</v>
      </c>
      <c r="I3196" s="1" t="str">
        <f>"Позитивний"</f>
        <v>Позитивний</v>
      </c>
      <c r="J3196" s="1" t="str">
        <f>"Так"</f>
        <v>Так</v>
      </c>
    </row>
    <row r="3197" spans="1:10" ht="45" x14ac:dyDescent="0.25">
      <c r="A3197" s="1" t="str">
        <f>"3298-2020/27"</f>
        <v>3298-2020/27</v>
      </c>
      <c r="B3197" s="1" t="str">
        <f t="shared" si="525"/>
        <v>30.06.2020</v>
      </c>
      <c r="C3197" s="1" t="str">
        <f>"Закрито"</f>
        <v>Закрито</v>
      </c>
      <c r="D3197" s="1" t="str">
        <f>"Реєстрація місця проживання особи"</f>
        <v>Реєстрація місця проживання особи</v>
      </c>
      <c r="E3197" s="1" t="str">
        <f>"Реєстрація місця проживання"</f>
        <v>Реєстрація місця проживання</v>
      </c>
      <c r="F3197" s="1" t="str">
        <f>"Відділ реєстрації Новокаховської міської ради"</f>
        <v>Відділ реєстрації Новокаховської міської ради</v>
      </c>
      <c r="G3197" s="1" t="str">
        <f>"1"</f>
        <v>1</v>
      </c>
      <c r="H3197" s="1" t="str">
        <f>"Результат"</f>
        <v>Результат</v>
      </c>
      <c r="I3197" s="1" t="str">
        <f>"Позитивний"</f>
        <v>Позитивний</v>
      </c>
      <c r="J3197" s="1" t="str">
        <f>"Так"</f>
        <v>Так</v>
      </c>
    </row>
    <row r="3198" spans="1:10" ht="135" x14ac:dyDescent="0.25">
      <c r="A3198" s="1" t="str">
        <f>"3322-2020/27"</f>
        <v>3322-2020/27</v>
      </c>
      <c r="B3198" s="1" t="str">
        <f t="shared" si="525"/>
        <v>30.06.2020</v>
      </c>
      <c r="C3198" s="1" t="str">
        <f>"Закрито"</f>
        <v>Закрито</v>
      </c>
      <c r="D3198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3198" s="1" t="str">
        <f>"Земельні питання"</f>
        <v>Земельні питання</v>
      </c>
      <c r="F3198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98" s="1" t="str">
        <f>"14"</f>
        <v>14</v>
      </c>
      <c r="H3198" s="1" t="str">
        <f>"Результат"</f>
        <v>Результат</v>
      </c>
      <c r="I3198" s="1" t="str">
        <f>"Позитивний"</f>
        <v>Позитивний</v>
      </c>
      <c r="J3198" s="1" t="str">
        <f>"Ні"</f>
        <v>Ні</v>
      </c>
    </row>
    <row r="3199" spans="1:10" ht="135" x14ac:dyDescent="0.25">
      <c r="A3199" s="1" t="str">
        <f>"3318-2020/27"</f>
        <v>3318-2020/27</v>
      </c>
      <c r="B3199" s="1" t="str">
        <f t="shared" si="525"/>
        <v>30.06.2020</v>
      </c>
      <c r="C3199" s="1" t="str">
        <f>"Закрито"</f>
        <v>Закрито</v>
      </c>
      <c r="D3199" s="1" t="str">
        <f>"Надання відомостей з Державного земельного кадастру у формі витягу з Державного земельного кадастру про земельну ділянку"</f>
        <v>Надання відомостей з Державного земельного кадастру у формі витягу з Державного земельного кадастру про земельну ділянку</v>
      </c>
      <c r="E3199" s="1" t="str">
        <f>"Земельні питання"</f>
        <v>Земельні питання</v>
      </c>
      <c r="F3199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199" s="1" t="str">
        <f>"1"</f>
        <v>1</v>
      </c>
      <c r="H3199" s="1" t="str">
        <f>"Результат"</f>
        <v>Результат</v>
      </c>
      <c r="I3199" s="1" t="str">
        <f>"Позитивний"</f>
        <v>Позитивний</v>
      </c>
      <c r="J3199" s="1" t="str">
        <f>"Так"</f>
        <v>Так</v>
      </c>
    </row>
    <row r="3200" spans="1:10" ht="90" x14ac:dyDescent="0.25">
      <c r="A3200" s="1" t="str">
        <f>"3299-2020/27"</f>
        <v>3299-2020/27</v>
      </c>
      <c r="B3200" s="1" t="str">
        <f t="shared" si="525"/>
        <v>30.06.2020</v>
      </c>
      <c r="C3200" s="1" t="str">
        <f>"На обробці в адмін. органі"</f>
        <v>На обробці в адмін. органі</v>
      </c>
      <c r="D3200" s="1" t="str">
        <f>"Вклеювання до паспорта громадянина України фотокартки при досягненні громадянином 25- і 45-річного віку"</f>
        <v>Вклеювання до паспорта громадянина України фотокартки при досягненні громадянином 25- і 45-річного віку</v>
      </c>
      <c r="E3200" s="1" t="str">
        <f>"Інші послуги"</f>
        <v>Інші послуги</v>
      </c>
      <c r="F3200" s="1" t="str">
        <f>"Новокаховський міський відділ Управління Державної міграційної служби України у Херсонській області"</f>
        <v>Новокаховський міський відділ Управління Державної міграційної служби України у Херсонській області</v>
      </c>
      <c r="G3200" s="1" t="str">
        <f>"5"</f>
        <v>5</v>
      </c>
      <c r="H3200" s="1" t="str">
        <f>""</f>
        <v/>
      </c>
      <c r="I3200" s="1" t="str">
        <f>""</f>
        <v/>
      </c>
      <c r="J3200" s="1" t="str">
        <f>"Ні"</f>
        <v>Ні</v>
      </c>
    </row>
    <row r="3201" spans="1:10" ht="45" x14ac:dyDescent="0.25">
      <c r="A3201" s="1" t="str">
        <f>"3315-2020/27"</f>
        <v>3315-2020/27</v>
      </c>
      <c r="B3201" s="1" t="str">
        <f t="shared" si="525"/>
        <v>30.06.2020</v>
      </c>
      <c r="C3201" s="1" t="str">
        <f>"Закрито"</f>
        <v>Закрито</v>
      </c>
      <c r="D3201" s="1" t="str">
        <f>"Реєстрація місця проживання особи"</f>
        <v>Реєстрація місця проживання особи</v>
      </c>
      <c r="E3201" s="1" t="str">
        <f>"Реєстрація місця проживання"</f>
        <v>Реєстрація місця проживання</v>
      </c>
      <c r="F3201" s="1" t="str">
        <f>"Відділ реєстрації Новокаховської міської ради"</f>
        <v>Відділ реєстрації Новокаховської міської ради</v>
      </c>
      <c r="G3201" s="1" t="str">
        <f>"1"</f>
        <v>1</v>
      </c>
      <c r="H3201" s="1" t="str">
        <f>"Результат"</f>
        <v>Результат</v>
      </c>
      <c r="I3201" s="1" t="str">
        <f>"Позитивний"</f>
        <v>Позитивний</v>
      </c>
      <c r="J3201" s="1" t="str">
        <f>"Так"</f>
        <v>Так</v>
      </c>
    </row>
    <row r="3202" spans="1:10" ht="45" x14ac:dyDescent="0.25">
      <c r="A3202" s="1" t="str">
        <f>"3309-2020/27"</f>
        <v>3309-2020/27</v>
      </c>
      <c r="B3202" s="1" t="str">
        <f t="shared" si="525"/>
        <v>30.06.2020</v>
      </c>
      <c r="C3202" s="1" t="str">
        <f>"Закрито"</f>
        <v>Закрито</v>
      </c>
      <c r="D3202" s="1" t="str">
        <f>"Зняття з реєстрації місця проживання"</f>
        <v>Зняття з реєстрації місця проживання</v>
      </c>
      <c r="E3202" s="1" t="str">
        <f>"Реєстрація місця проживання"</f>
        <v>Реєстрація місця проживання</v>
      </c>
      <c r="F3202" s="1" t="str">
        <f>"Відділ реєстрації Новокаховської міської ради"</f>
        <v>Відділ реєстрації Новокаховської міської ради</v>
      </c>
      <c r="G3202" s="1" t="str">
        <f>"1"</f>
        <v>1</v>
      </c>
      <c r="H3202" s="1" t="str">
        <f>"Результат"</f>
        <v>Результат</v>
      </c>
      <c r="I3202" s="1" t="str">
        <f>"Позитивний"</f>
        <v>Позитивний</v>
      </c>
      <c r="J3202" s="1" t="str">
        <f>"Так"</f>
        <v>Так</v>
      </c>
    </row>
    <row r="3203" spans="1:10" ht="135" x14ac:dyDescent="0.25">
      <c r="A3203" s="1" t="str">
        <f>"3324-2020/27"</f>
        <v>3324-2020/27</v>
      </c>
      <c r="B3203" s="1" t="str">
        <f t="shared" si="525"/>
        <v>30.06.2020</v>
      </c>
      <c r="C3203" s="1" t="str">
        <f>"Закрито"</f>
        <v>Закрито</v>
      </c>
      <c r="D3203" s="1" t="str">
        <f>"Державна реєстрація земельної ділянки з видачею витягу з державного земельного кадастру"</f>
        <v>Державна реєстрація земельної ділянки з видачею витягу з державного земельного кадастру</v>
      </c>
      <c r="E3203" s="1" t="str">
        <f>"Земельні питання"</f>
        <v>Земельні питання</v>
      </c>
      <c r="F3203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203" s="1" t="str">
        <f>"14"</f>
        <v>14</v>
      </c>
      <c r="H3203" s="1" t="str">
        <f>"Результат"</f>
        <v>Результат</v>
      </c>
      <c r="I3203" s="1" t="str">
        <f>"Позитивний"</f>
        <v>Позитивний</v>
      </c>
      <c r="J3203" s="1" t="str">
        <f>"Ні"</f>
        <v>Ні</v>
      </c>
    </row>
    <row r="3204" spans="1:10" ht="135" x14ac:dyDescent="0.25">
      <c r="A3204" s="1" t="str">
        <f>"3321-2020/27"</f>
        <v>3321-2020/27</v>
      </c>
      <c r="B3204" s="1" t="str">
        <f t="shared" si="525"/>
        <v>30.06.2020</v>
      </c>
      <c r="C3204" s="1" t="str">
        <f>"Закрито"</f>
        <v>Закрито</v>
      </c>
      <c r="D3204" s="1" t="str">
        <f>"Внесення до Державного земельного кадастру відомостей (змін до них) про земельну ділянку з видачею витягу"</f>
        <v>Внесення до Державного земельного кадастру відомостей (змін до них) про земельну ділянку з видачею витягу</v>
      </c>
      <c r="E3204" s="1" t="str">
        <f>"Земельні питання"</f>
        <v>Земельні питання</v>
      </c>
      <c r="F3204" s="1" t="str">
        <f>"Відділ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області"</f>
        <v>Відділ у м. Новій Каховці Міськрайонного управління у Каховському районі та м. Новій Каховці Головного управління Держгеокадастру у Херсонській області</v>
      </c>
      <c r="G3204" s="1" t="str">
        <f>"14"</f>
        <v>14</v>
      </c>
      <c r="H3204" s="1" t="str">
        <f>"Результат"</f>
        <v>Результат</v>
      </c>
      <c r="I3204" s="1" t="str">
        <f>"Позитивний"</f>
        <v>Позитивний</v>
      </c>
      <c r="J3204" s="1" t="str">
        <f>"Ні"</f>
        <v>Ні</v>
      </c>
    </row>
    <row r="3205" spans="1:10" ht="45" x14ac:dyDescent="0.25">
      <c r="A3205" s="1" t="str">
        <f>"3313-2020/27"</f>
        <v>3313-2020/27</v>
      </c>
      <c r="B3205" s="1" t="str">
        <f t="shared" si="525"/>
        <v>30.06.2020</v>
      </c>
      <c r="C3205" s="1" t="str">
        <f>"Закрито"</f>
        <v>Закрито</v>
      </c>
      <c r="D3205" s="1" t="str">
        <f>"Зняття з реєстрації місця проживання"</f>
        <v>Зняття з реєстрації місця проживання</v>
      </c>
      <c r="E3205" s="1" t="str">
        <f>"Реєстрація місця проживання"</f>
        <v>Реєстрація місця проживання</v>
      </c>
      <c r="F3205" s="1" t="str">
        <f>"Відділ реєстрації Новокаховської міської ради"</f>
        <v>Відділ реєстрації Новокаховської міської ради</v>
      </c>
      <c r="G3205" s="1" t="str">
        <f>"1"</f>
        <v>1</v>
      </c>
      <c r="H3205" s="1" t="str">
        <f>"Результат"</f>
        <v>Результат</v>
      </c>
      <c r="I3205" s="1" t="str">
        <f>"Позитивний"</f>
        <v>Позитивний</v>
      </c>
      <c r="J3205" s="1" t="str">
        <f>"Так"</f>
        <v>Так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cnap1</dc:creator>
  <cp:lastModifiedBy>123</cp:lastModifiedBy>
  <dcterms:created xsi:type="dcterms:W3CDTF">2020-01-11T07:40:06Z</dcterms:created>
  <dcterms:modified xsi:type="dcterms:W3CDTF">2020-07-03T09:19:05Z</dcterms:modified>
</cp:coreProperties>
</file>