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11265" tabRatio="563"/>
  </bookViews>
  <sheets>
    <sheet name="бюджет 2020" sheetId="1" r:id="rId1"/>
  </sheets>
  <definedNames>
    <definedName name="_xlnm._FilterDatabase" localSheetId="0" hidden="1">'бюджет 2020'!$A$13:$Q$178</definedName>
    <definedName name="Z_01DC40C6_C2E3_4C2A_99FF_2CD39721FC8A_.wvu.FilterData" localSheetId="0" hidden="1">'бюджет 2020'!$S$1:$S$282</definedName>
    <definedName name="Z_053FFE79_5B42_4807_9924_A02379E1D276_.wvu.FilterData" localSheetId="0" hidden="1">'бюджет 2020'!$A$5:$Q$178</definedName>
    <definedName name="Z_06FF5501_5BE6_45D4_84C0_1F7A9796CFE0_.wvu.FilterData" localSheetId="0" hidden="1">'бюджет 2020'!$A$12:$Q$178</definedName>
    <definedName name="Z_06FF5501_5BE6_45D4_84C0_1F7A9796CFE0_.wvu.PrintArea" localSheetId="0" hidden="1">'бюджет 2020'!$A$1:$Q$181</definedName>
    <definedName name="Z_06FF5501_5BE6_45D4_84C0_1F7A9796CFE0_.wvu.PrintTitles" localSheetId="0" hidden="1">'бюджет 2020'!$9:$12</definedName>
    <definedName name="Z_08BC6EC6_462D_4192_BA8A_98B9E6B2E97F_.wvu.Cols" localSheetId="0" hidden="1">'бюджет 2020'!$P:$P</definedName>
    <definedName name="Z_08BC6EC6_462D_4192_BA8A_98B9E6B2E97F_.wvu.FilterData" localSheetId="0" hidden="1">'бюджет 2020'!$A$5:$Q$178</definedName>
    <definedName name="Z_08BC6EC6_462D_4192_BA8A_98B9E6B2E97F_.wvu.PrintArea" localSheetId="0" hidden="1">'бюджет 2020'!$A$1:$Q$181</definedName>
    <definedName name="Z_08BC6EC6_462D_4192_BA8A_98B9E6B2E97F_.wvu.PrintTitles" localSheetId="0" hidden="1">'бюджет 2020'!$9:$12</definedName>
    <definedName name="Z_0EF41CEA_3DEB_4F45_9D74_EBB564ADBF1C_.wvu.FilterData" localSheetId="0" hidden="1">'бюджет 2020'!$T$15:$T$181</definedName>
    <definedName name="Z_0F2916D3_0D3B_4FCE_8F3B_8E9408546A8F_.wvu.FilterData" localSheetId="0" hidden="1">'бюджет 2020'!$14:$178</definedName>
    <definedName name="Z_118ABD37_1ACF_4730_AF1D_1B75EE1E1D59_.wvu.FilterData" localSheetId="0" hidden="1">'бюджет 2020'!$A$13:$Q$178</definedName>
    <definedName name="Z_15BF0925_5554_4B22_865B_5EE3CC1FCC70_.wvu.FilterData" localSheetId="0" hidden="1">'бюджет 2020'!$14:$178</definedName>
    <definedName name="Z_176FFD79_3952_4CE8_94CC_58172C02DA4B_.wvu.FilterData" localSheetId="0" hidden="1">'бюджет 2020'!$A$5:$Q$178</definedName>
    <definedName name="Z_1AD68B34_D8A8_454A_BD45_658779DEFC89_.wvu.FilterData" localSheetId="0" hidden="1">'бюджет 2020'!$A$13:$Q$178</definedName>
    <definedName name="Z_1BE18226_0870_49E8_914C_DFF78740CBE0_.wvu.FilterData" localSheetId="0" hidden="1">'бюджет 2020'!$T$15:$T$181</definedName>
    <definedName name="Z_1D8128F6_B435_44FF_A037_9BD54EFEFDCB_.wvu.Cols" localSheetId="0" hidden="1">'бюджет 2020'!$P:$P</definedName>
    <definedName name="Z_1D8128F6_B435_44FF_A037_9BD54EFEFDCB_.wvu.FilterData" localSheetId="0" hidden="1">'бюджет 2020'!$A$13:$Q$178</definedName>
    <definedName name="Z_1D8128F6_B435_44FF_A037_9BD54EFEFDCB_.wvu.PrintArea" localSheetId="0" hidden="1">'бюджет 2020'!$A$1:$Q$181</definedName>
    <definedName name="Z_1D8128F6_B435_44FF_A037_9BD54EFEFDCB_.wvu.PrintTitles" localSheetId="0" hidden="1">'бюджет 2020'!$9:$12</definedName>
    <definedName name="Z_1E0CB623_BE32_4EEC_83B5_44273C93F43A_.wvu.Cols" localSheetId="0" hidden="1">'бюджет 2020'!$P:$P</definedName>
    <definedName name="Z_1E0CB623_BE32_4EEC_83B5_44273C93F43A_.wvu.FilterData" localSheetId="0" hidden="1">'бюджет 2020'!$T$15:$T$181</definedName>
    <definedName name="Z_1E0CB623_BE32_4EEC_83B5_44273C93F43A_.wvu.PrintArea" localSheetId="0" hidden="1">'бюджет 2020'!$A$1:$Q$181</definedName>
    <definedName name="Z_1E0CB623_BE32_4EEC_83B5_44273C93F43A_.wvu.PrintTitles" localSheetId="0" hidden="1">'бюджет 2020'!$9:$12</definedName>
    <definedName name="Z_1FBD8217_AD28_4F57_A882_EBCF64B7F0F9_.wvu.FilterData" localSheetId="0" hidden="1">'бюджет 2020'!$A$5:$Q$178</definedName>
    <definedName name="Z_212D2720_78ED_458C_A6E4_B5A122D75D2C_.wvu.FilterData" localSheetId="0" hidden="1">'бюджет 2020'!$A$12:$Q$178</definedName>
    <definedName name="Z_25D8C31A_D007_4DED_9D9E_A89A5E7F4BA2_.wvu.FilterData" localSheetId="0" hidden="1">'бюджет 2020'!$A$12:$Q$178</definedName>
    <definedName name="Z_264FD6DE_E755_4235_A2A8_B53F8DD6960D_.wvu.FilterData" localSheetId="0" hidden="1">'бюджет 2020'!$A$5:$Q$178</definedName>
    <definedName name="Z_26C5D710_598E_4AFE_BC8C_C2A25067AC2C_.wvu.FilterData" localSheetId="0" hidden="1">'бюджет 2020'!$A$5:$Q$178</definedName>
    <definedName name="Z_29DD72D9_9C75_437A_8B7D_778167BBD33E_.wvu.Cols" localSheetId="0" hidden="1">'бюджет 2020'!$P:$P</definedName>
    <definedName name="Z_29DD72D9_9C75_437A_8B7D_778167BBD33E_.wvu.FilterData" localSheetId="0" hidden="1">'бюджет 2020'!$T$15:$T$181</definedName>
    <definedName name="Z_29DD72D9_9C75_437A_8B7D_778167BBD33E_.wvu.PrintArea" localSheetId="0" hidden="1">'бюджет 2020'!$A$1:$Q$181</definedName>
    <definedName name="Z_29DD72D9_9C75_437A_8B7D_778167BBD33E_.wvu.PrintTitles" localSheetId="0" hidden="1">'бюджет 2020'!$9:$12</definedName>
    <definedName name="Z_2C58E98A_4ACE_42D1_86ED_AC46566B5E2A_.wvu.FilterData" localSheetId="0" hidden="1">'бюджет 2020'!$A$12:$Q$178</definedName>
    <definedName name="Z_2C58E98A_4ACE_42D1_86ED_AC46566B5E2A_.wvu.PrintArea" localSheetId="0" hidden="1">'бюджет 2020'!$A$1:$Q$181</definedName>
    <definedName name="Z_2C58E98A_4ACE_42D1_86ED_AC46566B5E2A_.wvu.PrintTitles" localSheetId="0" hidden="1">'бюджет 2020'!$9:$12</definedName>
    <definedName name="Z_2D3BA25F_BD20_425B_96AB_81F2F41D823E_.wvu.Rows" localSheetId="0" hidden="1">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</definedName>
    <definedName name="Z_336FFEA6_A8C2_40E0_B38D_B5CC1D6D13D4_.wvu.FilterData" localSheetId="0" hidden="1">'бюджет 2020'!$T$15:$T$181</definedName>
    <definedName name="Z_3763055B_ABF4_4D25_AECC_3A5E80A98775_.wvu.FilterData" localSheetId="0" hidden="1">'бюджет 2020'!$A$13:$Q$178</definedName>
    <definedName name="Z_393A1A8A_94C9_4590_907C_B8DF888B9F67_.wvu.FilterData" localSheetId="0" hidden="1">'бюджет 2020'!$T$15:$T$181</definedName>
    <definedName name="Z_398B9434_04D2_4536_8E65_52C6478EEC6B_.wvu.FilterData" localSheetId="0" hidden="1">'бюджет 2020'!$A$12:$Q$178</definedName>
    <definedName name="Z_398F3864_0D87_4E71_B074_A07F47242E63_.wvu.FilterData" localSheetId="0" hidden="1">'бюджет 2020'!$A$5:$Q$178</definedName>
    <definedName name="Z_3B13EDF0_F582_4700_A153_9DDB07891CE6_.wvu.FilterData" localSheetId="0" hidden="1">'бюджет 2020'!$T$15:$T$181</definedName>
    <definedName name="Z_3BCF9588_20CF_4B13_AA41_F2EDACEB330B_.wvu.Rows" localSheetId="0" hidden="1">'бюджет 2020'!#REF!</definedName>
    <definedName name="Z_3DC2ACD9_604C_4F2C_A6BC_D854E66C0A91_.wvu.FilterData" localSheetId="0" hidden="1">'бюджет 2020'!$A$5:$Q$178</definedName>
    <definedName name="Z_41D4C65F_3CC2_4491_986A_72A51C637155_.wvu.FilterData" localSheetId="0" hidden="1">'бюджет 2020'!$A$13:$Q$178</definedName>
    <definedName name="Z_4310BC2F_F841_48E2_9AFE_777A6EC592B4_.wvu.FilterData" localSheetId="0" hidden="1">'бюджет 2020'!$T$15:$T$181</definedName>
    <definedName name="Z_437B1C8C_9144_492F_A153_DC459B617A9A_.wvu.FilterData" localSheetId="0" hidden="1">'бюджет 2020'!$A$5:$Q$178</definedName>
    <definedName name="Z_465BD29E_DF98_40C1_A448_521E1312C017_.wvu.FilterData" localSheetId="0" hidden="1">'бюджет 2020'!$A$13:$Q$178</definedName>
    <definedName name="Z_4AE27128_ACCD_4425_AC41_03F0DDF91B3F_.wvu.FilterData" localSheetId="0" hidden="1">'бюджет 2020'!$A$13:$Q$178</definedName>
    <definedName name="Z_4DD8EC64_D55E_4739_A5C6_48C1EDC8976A_.wvu.FilterData" localSheetId="0" hidden="1">'бюджет 2020'!$A$5:$Q$178</definedName>
    <definedName name="Z_504E170D_7949_4124_9711_EC2155F3D0A8_.wvu.FilterData" localSheetId="0" hidden="1">'бюджет 2020'!$T$15:$T$181</definedName>
    <definedName name="Z_51D9AA6C_740C_4147_AD46_2243D1027153_.wvu.FilterData" localSheetId="0" hidden="1">'бюджет 2020'!$T$15:$T$181</definedName>
    <definedName name="Z_55C3F4C1_780C_49F7_A5ED_38837E4BD0D2_.wvu.Cols" localSheetId="0" hidden="1">'бюджет 2020'!$P:$P</definedName>
    <definedName name="Z_55C3F4C1_780C_49F7_A5ED_38837E4BD0D2_.wvu.FilterData" localSheetId="0" hidden="1">'бюджет 2020'!$A$13:$Q$178</definedName>
    <definedName name="Z_55C3F4C1_780C_49F7_A5ED_38837E4BD0D2_.wvu.PrintTitles" localSheetId="0" hidden="1">'бюджет 2020'!$9:$12</definedName>
    <definedName name="Z_5923C6A9_7ECE_41D6_A690_6FB804100128_.wvu.FilterData" localSheetId="0" hidden="1">'бюджет 2020'!$A$5:$Q$178</definedName>
    <definedName name="Z_5D060DE1_CC13_45C6_B427_3A50E6447880_.wvu.Cols" localSheetId="0" hidden="1">'бюджет 2020'!$P:$P</definedName>
    <definedName name="Z_5D060DE1_CC13_45C6_B427_3A50E6447880_.wvu.FilterData" localSheetId="0" hidden="1">'бюджет 2020'!$A$13:$Q$178</definedName>
    <definedName name="Z_5D060DE1_CC13_45C6_B427_3A50E6447880_.wvu.PrintTitles" localSheetId="0" hidden="1">'бюджет 2020'!$9:$12</definedName>
    <definedName name="Z_5D261502_6A5F_42DF_9961_90A2EC6BDFE8_.wvu.FilterData" localSheetId="0" hidden="1">'бюджет 2020'!$T$15:$T$181</definedName>
    <definedName name="Z_64E86EB7_ACAC_478B_BBA4_A43D8F0A05F7_.wvu.FilterData" localSheetId="0" hidden="1">'бюджет 2020'!$A$12:$Q$178</definedName>
    <definedName name="Z_64E86EB7_ACAC_478B_BBA4_A43D8F0A05F7_.wvu.PrintArea" localSheetId="0" hidden="1">'бюджет 2020'!$A$1:$Q$181</definedName>
    <definedName name="Z_64E86EB7_ACAC_478B_BBA4_A43D8F0A05F7_.wvu.PrintTitles" localSheetId="0" hidden="1">'бюджет 2020'!$9:$12</definedName>
    <definedName name="Z_6922F3C9_426B_40C5_BC7C_90FFDC39740C_.wvu.Cols" localSheetId="0" hidden="1">'бюджет 2020'!$P:$P</definedName>
    <definedName name="Z_6922F3C9_426B_40C5_BC7C_90FFDC39740C_.wvu.FilterData" localSheetId="0" hidden="1">'бюджет 2020'!$A$13:$Q$178</definedName>
    <definedName name="Z_6922F3C9_426B_40C5_BC7C_90FFDC39740C_.wvu.PrintTitles" localSheetId="0" hidden="1">'бюджет 2020'!$9:$12</definedName>
    <definedName name="Z_6DD45F55_A4E8_4BAE_A351_1BDE5409E801_.wvu.FilterData" localSheetId="0" hidden="1">'бюджет 2020'!$14:$178</definedName>
    <definedName name="Z_6FCD1BF2_2D63_48DF_A581_6B5169DF31E9_.wvu.FilterData" localSheetId="0" hidden="1">'бюджет 2020'!$A$5:$Q$178</definedName>
    <definedName name="Z_7139FC0C_A56B_4194_AB3C_57E5317AB09D_.wvu.FilterData" localSheetId="0" hidden="1">'бюджет 2020'!$A$12:$Q$178</definedName>
    <definedName name="Z_72281E9A_1074_405D_BEC9_F19F3AAF08DD_.wvu.Cols" localSheetId="0" hidden="1">'бюджет 2020'!$P:$P</definedName>
    <definedName name="Z_72281E9A_1074_405D_BEC9_F19F3AAF08DD_.wvu.FilterData" localSheetId="0" hidden="1">'бюджет 2020'!$A$13:$Q$178</definedName>
    <definedName name="Z_72281E9A_1074_405D_BEC9_F19F3AAF08DD_.wvu.PrintTitles" localSheetId="0" hidden="1">'бюджет 2020'!$9:$12</definedName>
    <definedName name="Z_728659FD_1117_4718_B24F_07C4CD2FAD84_.wvu.Cols" localSheetId="0" hidden="1">'бюджет 2020'!$P:$P</definedName>
    <definedName name="Z_728659FD_1117_4718_B24F_07C4CD2FAD84_.wvu.FilterData" localSheetId="0" hidden="1">'бюджет 2020'!$A$5:$Q$178</definedName>
    <definedName name="Z_728659FD_1117_4718_B24F_07C4CD2FAD84_.wvu.PrintArea" localSheetId="0" hidden="1">'бюджет 2020'!$A$1:$Q$181</definedName>
    <definedName name="Z_728659FD_1117_4718_B24F_07C4CD2FAD84_.wvu.PrintTitles" localSheetId="0" hidden="1">'бюджет 2020'!$9:$12</definedName>
    <definedName name="Z_74EA6356_78B8_4F6F_9C88_7ED64817BC20_.wvu.FilterData" localSheetId="0" hidden="1">'бюджет 2020'!$A$13:$Q$178</definedName>
    <definedName name="Z_77219AEC_206B_4BA5_BB35_2C5A2FF12F73_.wvu.FilterData" localSheetId="0" hidden="1">'бюджет 2020'!$S$1:$S$282</definedName>
    <definedName name="Z_788D644C_EFA2_479E_83E8_7E709AEED2B3_.wvu.FilterData" localSheetId="0" hidden="1">'бюджет 2020'!$A$5:$Q$178</definedName>
    <definedName name="Z_7B5924A6_F4BF_44B5_8369_6E0C4E4CDD03_.wvu.FilterData" localSheetId="0" hidden="1">'бюджет 2020'!$T$15:$T$181</definedName>
    <definedName name="Z_7C07EE80_51C7_4F68_9308_97581FF57A23_.wvu.FilterData" localSheetId="0" hidden="1">'бюджет 2020'!$T$15:$T$181</definedName>
    <definedName name="Z_82E690D4_F372_4835_869C_EC3BE48D04FF_.wvu.Cols" localSheetId="0" hidden="1">'бюджет 2020'!$P:$P</definedName>
    <definedName name="Z_82E690D4_F372_4835_869C_EC3BE48D04FF_.wvu.FilterData" localSheetId="0" hidden="1">'бюджет 2020'!$A$13:$Q$178</definedName>
    <definedName name="Z_82E690D4_F372_4835_869C_EC3BE48D04FF_.wvu.PrintTitles" localSheetId="0" hidden="1">'бюджет 2020'!$9:$12</definedName>
    <definedName name="Z_83038621_972B_4F3E_95DE_92DCB6DA3BC8_.wvu.FilterData" localSheetId="0" hidden="1">'бюджет 2020'!$A$5:$Q$178</definedName>
    <definedName name="Z_87FCCED2_1943_4C8C_B594_DD09637E263E_.wvu.FilterData" localSheetId="0" hidden="1">'бюджет 2020'!$A$5:$Q$178</definedName>
    <definedName name="Z_898A7308_EC82_47C6_8084_941DCF55988F_.wvu.FilterData" localSheetId="0" hidden="1">'бюджет 2020'!$A$13:$Q$178</definedName>
    <definedName name="Z_8BC4B537_19E1_4FBD_8F0C_6BDF3FC6CCE3_.wvu.FilterData" localSheetId="0" hidden="1">'бюджет 2020'!$T$15:$T$181</definedName>
    <definedName name="Z_901C52FA_8C6B_4870_A96D_9ACB59FFF715_.wvu.PrintArea" localSheetId="0" hidden="1">'бюджет 2020'!$A$1:$Q$181</definedName>
    <definedName name="Z_901C52FA_8C6B_4870_A96D_9ACB59FFF715_.wvu.PrintTitles" localSheetId="0" hidden="1">'бюджет 2020'!$9:$12</definedName>
    <definedName name="Z_901C52FA_8C6B_4870_A96D_9ACB59FFF715_.wvu.Rows" localSheetId="0" hidden="1">'бюджет 2020'!#REF!</definedName>
    <definedName name="Z_90415417_BACB_40A1_A63E_5CDE29AAF4C0_.wvu.FilterData" localSheetId="0" hidden="1">'бюджет 2020'!$A$13:$Q$178</definedName>
    <definedName name="Z_94DCD06E_14DC_4A2E_8D13_F34AEE7DEEC4_.wvu.FilterData" localSheetId="0" hidden="1">'бюджет 2020'!$14:$178</definedName>
    <definedName name="Z_99023DA6_B3B8_4899_85F1_D1E114417FE2_.wvu.FilterData" localSheetId="0" hidden="1">'бюджет 2020'!$A$5:$Q$178</definedName>
    <definedName name="Z_9B2A1339_2A01_4C70_B6A4_88AC7DF51419_.wvu.FilterData" localSheetId="0" hidden="1">'бюджет 2020'!$T$15:$T$181</definedName>
    <definedName name="Z_9DB6C55C_FEF7_4B3C_8A53_F6F1B18FECC2_.wvu.FilterData" localSheetId="0" hidden="1">'бюджет 2020'!$A$13:$Q$178</definedName>
    <definedName name="Z_A0A49DB6_47D1_4841_B3DF_14A3AA404E48_.wvu.FilterData" localSheetId="0" hidden="1">'бюджет 2020'!$A$13:$Q$178</definedName>
    <definedName name="Z_A4769E6E_B156_46A5_ABFD_4B2369C8E838_.wvu.FilterData" localSheetId="0" hidden="1">'бюджет 2020'!$T$15:$T$181</definedName>
    <definedName name="Z_A4A0B23D_0EEE_4CF4_8122_823347B4B577_.wvu.FilterData" localSheetId="0" hidden="1">'бюджет 2020'!$T$15:$T$181</definedName>
    <definedName name="Z_A5151744_FE8A_4DF9_B3B3_ED6499544881_.wvu.Cols" localSheetId="0" hidden="1">'бюджет 2020'!$P:$P</definedName>
    <definedName name="Z_A5151744_FE8A_4DF9_B3B3_ED6499544881_.wvu.FilterData" localSheetId="0" hidden="1">'бюджет 2020'!$A$13:$Q$178</definedName>
    <definedName name="Z_A5151744_FE8A_4DF9_B3B3_ED6499544881_.wvu.PrintTitles" localSheetId="0" hidden="1">'бюджет 2020'!$9:$12</definedName>
    <definedName name="Z_A559085B_07C2_4A70_92CD_7BB6F0929C6D_.wvu.FilterData" localSheetId="0" hidden="1">'бюджет 2020'!$A$13:$Q$178</definedName>
    <definedName name="Z_A7B20D2C_B29F_4CAD_9523_1A2E55AC52CB_.wvu.FilterData" localSheetId="0" hidden="1">'бюджет 2020'!$A$5:$Q$178</definedName>
    <definedName name="Z_A7B20D2C_B29F_4CAD_9523_1A2E55AC52CB_.wvu.PrintArea" localSheetId="0" hidden="1">'бюджет 2020'!$A$1:$Q$181</definedName>
    <definedName name="Z_A7B20D2C_B29F_4CAD_9523_1A2E55AC52CB_.wvu.PrintTitles" localSheetId="0" hidden="1">'бюджет 2020'!$9:$12</definedName>
    <definedName name="Z_A87DCD2C_0946_4BCD_9B5B_693801A4F7C1_.wvu.FilterData" localSheetId="0" hidden="1">'бюджет 2020'!$A$12:$Q$178</definedName>
    <definedName name="Z_AA3852ED_D729_4133_BF4C_900715093176_.wvu.FilterData" localSheetId="0" hidden="1">'бюджет 2020'!$T$15:$T$181</definedName>
    <definedName name="Z_AA476E0D_382B_47B3_8366_AF4C2CC786BE_.wvu.FilterData" localSheetId="0" hidden="1">'бюджет 2020'!$A$12:$Q$178</definedName>
    <definedName name="Z_AA4CEBEF_47C2_43E4_8F37_861E9D8E79AB_.wvu.FilterData" localSheetId="0" hidden="1">'бюджет 2020'!$T$15:$T$181</definedName>
    <definedName name="Z_ACF75ACA_4939_4659_A32F_B53E4C105233_.wvu.FilterData" localSheetId="0" hidden="1">'бюджет 2020'!$14:$178</definedName>
    <definedName name="Z_ADE74710_7B75_4161_8B52_95001B2D5221_.wvu.FilterData" localSheetId="0" hidden="1">'бюджет 2020'!$A$12:$Q$178</definedName>
    <definedName name="Z_B643337A_0A3C_41C8_BB14_F2531B30DB6B_.wvu.Cols" localSheetId="0" hidden="1">'бюджет 2020'!$P:$P</definedName>
    <definedName name="Z_B643337A_0A3C_41C8_BB14_F2531B30DB6B_.wvu.FilterData" localSheetId="0" hidden="1">'бюджет 2020'!$A$13:$Q$178</definedName>
    <definedName name="Z_B643337A_0A3C_41C8_BB14_F2531B30DB6B_.wvu.PrintTitles" localSheetId="0" hidden="1">'бюджет 2020'!$9:$12</definedName>
    <definedName name="Z_B8EDD7B2_983C_4368_AC59_087A5D15244B_.wvu.FilterData" localSheetId="0" hidden="1">'бюджет 2020'!$A$12:$Q$178</definedName>
    <definedName name="Z_B8EDD7B2_983C_4368_AC59_087A5D15244B_.wvu.PrintArea" localSheetId="0" hidden="1">'бюджет 2020'!$A$1:$Q$181</definedName>
    <definedName name="Z_B8EDD7B2_983C_4368_AC59_087A5D15244B_.wvu.PrintTitles" localSheetId="0" hidden="1">'бюджет 2020'!$9:$12</definedName>
    <definedName name="Z_BA4A7868_A59A_4BB8_AC85_B9766165ABB8_.wvu.FilterData" localSheetId="0" hidden="1">'бюджет 2020'!$A$13:$Q$178</definedName>
    <definedName name="Z_BF0D1377_D6CB_410F_9CAC_2402E71DAF4B_.wvu.FilterData" localSheetId="0" hidden="1">'бюджет 2020'!$A$12:$Q$178</definedName>
    <definedName name="Z_C2185186_391B_4388_A395_8237DD2AA90D_.wvu.FilterData" localSheetId="0" hidden="1">'бюджет 2020'!$A$13:$Q$178</definedName>
    <definedName name="Z_C24E66B2_6FA6_4233_AD35_7F1BBB3DDDC9_.wvu.FilterData" localSheetId="0" hidden="1">'бюджет 2020'!$A$13:$Q$178</definedName>
    <definedName name="Z_C25E2007_E47E_4666_9A2E_7BCCA233A5A2_.wvu.FilterData" localSheetId="0" hidden="1">'бюджет 2020'!$T$15:$T$181</definedName>
    <definedName name="Z_C65B485E_55A5_417F_8437_2FEBCCDFAA63_.wvu.FilterData" localSheetId="0" hidden="1">'бюджет 2020'!$A$5:$Q$178</definedName>
    <definedName name="Z_C7F445E7_931E_4332_A081_540109733D73_.wvu.FilterData" localSheetId="0" hidden="1">'бюджет 2020'!$T$15:$T$181</definedName>
    <definedName name="Z_CCB302F5_8A4B_4036_89B7_981549D09EC2_.wvu.FilterData" localSheetId="0" hidden="1">'бюджет 2020'!$A$5:$Q$178</definedName>
    <definedName name="Z_CD4514C3_7706_475D_AA98_B1C0E09E8262_.wvu.FilterData" localSheetId="0" hidden="1">'бюджет 2020'!$T$15:$T$181</definedName>
    <definedName name="Z_CDB2EDA9_59E5_4874_AEE8_722B0630CB58_.wvu.FilterData" localSheetId="0" hidden="1">'бюджет 2020'!$A$5:$Q$178</definedName>
    <definedName name="Z_CE4AD934_5AB1_4FA2_8BA9_DA027B0B6829_.wvu.FilterData" localSheetId="0" hidden="1">'бюджет 2020'!$T$15:$T$181</definedName>
    <definedName name="Z_CFB4D80B_8439_4DC0_A38B_697B6B9801B9_.wvu.FilterData" localSheetId="0" hidden="1">'бюджет 2020'!$A$5:$Q$178</definedName>
    <definedName name="Z_CFC135F0_EE57_40C1_896F_3F9AD8194FB1_.wvu.FilterData" localSheetId="0" hidden="1">'бюджет 2020'!$A$12:$Q$178</definedName>
    <definedName name="Z_CFC38508_5849_45E9_A540_428F6627D410_.wvu.FilterData" localSheetId="0" hidden="1">'бюджет 2020'!$T$15:$T$181</definedName>
    <definedName name="Z_CFF53A88_24FC_46A1_BE8D_25E5D9EAC913_.wvu.FilterData" localSheetId="0" hidden="1">'бюджет 2020'!$A$5:$Q$178</definedName>
    <definedName name="Z_D080AA83_EFDF_4344_AF5F_1E7123EC0EA5_.wvu.FilterData" localSheetId="0" hidden="1">'бюджет 2020'!$A$5:$Q$178</definedName>
    <definedName name="Z_D35931BD_C5B2_4A6B_A289_51E69455AFE5_.wvu.FilterData" localSheetId="0" hidden="1">'бюджет 2020'!$A$13:$Q$178</definedName>
    <definedName name="Z_D40E6F69_8E39_4C97_882A_FB445233F6B2_.wvu.FilterData" localSheetId="0" hidden="1">'бюджет 2020'!$A$5:$Q$178</definedName>
    <definedName name="Z_D45EDE37_AE52_468D_A466_EA778DD6EF00_.wvu.FilterData" localSheetId="0" hidden="1">'бюджет 2020'!$A$5:$Q$178</definedName>
    <definedName name="Z_D5B2803E_6E6E_4A29_93FF_48AC30E3C910_.wvu.FilterData" localSheetId="0" hidden="1">'бюджет 2020'!$A$5:$Q$178</definedName>
    <definedName name="Z_D62C64D4_B079_4C6F_99B8_6A4C6090C705_.wvu.FilterData" localSheetId="0" hidden="1">'бюджет 2020'!$A$12:$Q$178</definedName>
    <definedName name="Z_D62C64D4_B079_4C6F_99B8_6A4C6090C705_.wvu.PrintArea" localSheetId="0" hidden="1">'бюджет 2020'!$A$1:$Q$181</definedName>
    <definedName name="Z_D62C64D4_B079_4C6F_99B8_6A4C6090C705_.wvu.PrintTitles" localSheetId="0" hidden="1">'бюджет 2020'!$9:$12</definedName>
    <definedName name="Z_DB6BF638_3672_4BA6_B91B_700477567FCC_.wvu.Cols" localSheetId="0" hidden="1">'бюджет 2020'!$P:$P</definedName>
    <definedName name="Z_DB6BF638_3672_4BA6_B91B_700477567FCC_.wvu.FilterData" localSheetId="0" hidden="1">'бюджет 2020'!$A$13:$Q$178</definedName>
    <definedName name="Z_DB6BF638_3672_4BA6_B91B_700477567FCC_.wvu.PrintArea" localSheetId="0" hidden="1">'бюджет 2020'!$A$1:$Q$181</definedName>
    <definedName name="Z_DB6BF638_3672_4BA6_B91B_700477567FCC_.wvu.PrintTitles" localSheetId="0" hidden="1">'бюджет 2020'!$9:$12</definedName>
    <definedName name="Z_DC41FBDB_ABEB_43A1_943B_87BEC07CAE64_.wvu.Cols" localSheetId="0" hidden="1">'бюджет 2020'!$P:$P</definedName>
    <definedName name="Z_DC41FBDB_ABEB_43A1_943B_87BEC07CAE64_.wvu.FilterData" localSheetId="0" hidden="1">'бюджет 2020'!$A$5:$Q$178</definedName>
    <definedName name="Z_DC41FBDB_ABEB_43A1_943B_87BEC07CAE64_.wvu.PrintArea" localSheetId="0" hidden="1">'бюджет 2020'!$A$1:$Q$181</definedName>
    <definedName name="Z_DC41FBDB_ABEB_43A1_943B_87BEC07CAE64_.wvu.PrintTitles" localSheetId="0" hidden="1">'бюджет 2020'!$9:$12</definedName>
    <definedName name="Z_DDEFFFA9_BE54_470A_84E5_18E3838CD43E_.wvu.FilterData" localSheetId="0" hidden="1">'бюджет 2020'!$A$5:$Q$178</definedName>
    <definedName name="Z_DE141A78_605C_44BB_BD62_B03A40069945_.wvu.FilterData" localSheetId="0" hidden="1">'бюджет 2020'!$A$5:$Q$178</definedName>
    <definedName name="Z_E05FEE76_C8F0_48FB_98C0_D7C09801D654_.wvu.FilterData" localSheetId="0" hidden="1">'бюджет 2020'!$A$13:$Q$178</definedName>
    <definedName name="Z_E2A48689_A5E5_46D0_8C00_B120D0D37D17_.wvu.FilterData" localSheetId="0" hidden="1">'бюджет 2020'!$T$15:$T$181</definedName>
    <definedName name="Z_E6C99BC7_4636_474D_85D2_6ED73099DFA7_.wvu.FilterData" localSheetId="0" hidden="1">'бюджет 2020'!$A$13:$Q$178</definedName>
    <definedName name="Z_E7652BCA_4782_4031_80A0_236155F7E125_.wvu.FilterData" localSheetId="0" hidden="1">'бюджет 2020'!$T$15:$T$181</definedName>
    <definedName name="Z_EB102C64_3D9F_4FE1_93DA_FC2B4F01DFA7_.wvu.FilterData" localSheetId="0" hidden="1">'бюджет 2020'!$T$15:$T$181</definedName>
    <definedName name="Z_EDE7AB98_7398_4457_B90C_2C25B6FA8DD9_.wvu.FilterData" localSheetId="0" hidden="1">'бюджет 2020'!$A$5:$Q$178</definedName>
    <definedName name="Z_EE29E89D_F51B_4DF2_827F_CEAABC20B800_.wvu.FilterData" localSheetId="0" hidden="1">'бюджет 2020'!$A$13:$Q$178</definedName>
    <definedName name="Z_EE37EADA_1A10_44E8_A1EE_5457CBD8D1BB_.wvu.FilterData" localSheetId="0" hidden="1">'бюджет 2020'!$T$15:$T$181</definedName>
    <definedName name="Z_F03CF6E5_C697_439E_A001_675112FAA55F_.wvu.FilterData" localSheetId="0" hidden="1">'бюджет 2020'!$A$13:$Q$178</definedName>
    <definedName name="Z_F3A9346B_6939_4CCB_97E8_B87FE6C8408C_.wvu.FilterData" localSheetId="0" hidden="1">'бюджет 2020'!$A$13:$Q$178</definedName>
    <definedName name="Z_F5B503FF_50C6_4A02_BEFD_FECD55929EDE_.wvu.FilterData" localSheetId="0" hidden="1">'бюджет 2020'!$A$5:$Q$178</definedName>
    <definedName name="Z_F65D5C81_586F_4ED8_8A7E_999252B36C10_.wvu.FilterData" localSheetId="0" hidden="1">'бюджет 2020'!$A$5:$Q$178</definedName>
    <definedName name="Z_F71D6805_C714_419D_B610_C94AE93ED077_.wvu.FilterData" localSheetId="0" hidden="1">'бюджет 2020'!$A$5:$Q$178</definedName>
    <definedName name="Z_F76F60ED_9331_410D_B081_6722B617DF68_.wvu.FilterData" localSheetId="0" hidden="1">'бюджет 2020'!$A$5:$Q$178</definedName>
    <definedName name="Z_F9D393D9_7D14_466E_939A_C2A79E4D9094_.wvu.FilterData" localSheetId="0" hidden="1">'бюджет 2020'!$A$12:$Q$178</definedName>
    <definedName name="Z_FAAAFD53_EFAF_4192_BD40_5531F2229F08_.wvu.FilterData" localSheetId="0" hidden="1">'бюджет 2020'!$A$5:$Q$178</definedName>
    <definedName name="Z_FE077014_7116_4A93_9B68_7AFDAB8CFB3D_.wvu.FilterData" localSheetId="0" hidden="1">'бюджет 2020'!$A$13:$Q$178</definedName>
    <definedName name="Z_FE652BEB_973D_451C_9ED2_EDCF1F5CBA89_.wvu.FilterData" localSheetId="0" hidden="1">'бюджет 2020'!$T$15:$T$181</definedName>
    <definedName name="_xlnm.Print_Titles" localSheetId="0">'бюджет 2020'!$9:$12</definedName>
    <definedName name="_xlnm.Print_Area" localSheetId="0">'бюджет 2020'!$A$1:$Q$181</definedName>
  </definedNames>
  <calcPr calcId="125725"/>
  <customWorkbookViews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031115-03 - Личное представление" guid="{B643337A-0A3C-41C8-BB14-F2531B30DB6B}" mergeInterval="0" personalView="1" maximized="1" xWindow="1" yWindow="1" windowWidth="1366" windowHeight="541" activeSheetId="1"/>
    <customWorkbookView name="Oleg - Личное представление" guid="{72281E9A-1074-405D-BEC9-F19F3AAF08DD}" mergeInterval="0" personalView="1" maximized="1" xWindow="1" yWindow="1" windowWidth="1362" windowHeight="54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Admin - Личное представление" guid="{55C3F4C1-780C-49F7-A5ED-38837E4BD0D2}" mergeInterval="0" personalView="1" maximized="1" xWindow="1" yWindow="1" windowWidth="1024" windowHeight="524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ukr - Личное представление" guid="{5D060DE1-CC13-45C6-B427-3A50E6447880}" mergeInterval="0" personalView="1" maximized="1" xWindow="1" yWindow="1" windowWidth="1436" windowHeight="646" activeSheetId="1"/>
    <customWorkbookView name="Пользователь Windows - Личное представление" guid="{A5151744-FE8A-4DF9-B3B3-ED6499544881}" mergeInterval="0" personalView="1" maximized="1" xWindow="1" yWindow="1" windowWidth="1916" windowHeight="853" activeSheetId="1"/>
  </customWorkbookViews>
</workbook>
</file>

<file path=xl/calcChain.xml><?xml version="1.0" encoding="utf-8"?>
<calcChain xmlns="http://schemas.openxmlformats.org/spreadsheetml/2006/main">
  <c r="K131" i="1"/>
  <c r="O129"/>
  <c r="K129"/>
  <c r="O127"/>
  <c r="K127"/>
  <c r="F34"/>
  <c r="O33"/>
  <c r="K33"/>
  <c r="O131"/>
  <c r="J123"/>
  <c r="E123"/>
  <c r="Q123" s="1"/>
  <c r="I111"/>
  <c r="E101"/>
  <c r="I99"/>
  <c r="F28"/>
  <c r="F69"/>
  <c r="F51"/>
  <c r="G34"/>
  <c r="I22"/>
  <c r="F87"/>
  <c r="F46"/>
  <c r="K128"/>
  <c r="O125"/>
  <c r="K125"/>
  <c r="J129"/>
  <c r="Q129" s="1"/>
  <c r="J125"/>
  <c r="Q125" s="1"/>
  <c r="F48"/>
  <c r="F49"/>
  <c r="O128"/>
  <c r="F121"/>
  <c r="G121"/>
  <c r="H121"/>
  <c r="I121"/>
  <c r="L121"/>
  <c r="M121"/>
  <c r="N121"/>
  <c r="P121"/>
  <c r="J133"/>
  <c r="Q133" s="1"/>
  <c r="O130"/>
  <c r="J130" s="1"/>
  <c r="Q130" s="1"/>
  <c r="K130"/>
  <c r="J127"/>
  <c r="F33"/>
  <c r="N31"/>
  <c r="M31"/>
  <c r="L31"/>
  <c r="J42"/>
  <c r="Q42" s="1"/>
  <c r="O34"/>
  <c r="K34"/>
  <c r="E174"/>
  <c r="J150"/>
  <c r="Q150" s="1"/>
  <c r="J148"/>
  <c r="J147"/>
  <c r="J146"/>
  <c r="J132"/>
  <c r="J131"/>
  <c r="J128"/>
  <c r="Q128" s="1"/>
  <c r="J126"/>
  <c r="J124"/>
  <c r="Q124" s="1"/>
  <c r="K121" l="1"/>
  <c r="O121"/>
  <c r="O16"/>
  <c r="J16" s="1"/>
  <c r="K16"/>
  <c r="J139"/>
  <c r="Q139" s="1"/>
  <c r="J138"/>
  <c r="O115"/>
  <c r="K115"/>
  <c r="J115"/>
  <c r="Q115" s="1"/>
  <c r="F176"/>
  <c r="O104"/>
  <c r="J104" s="1"/>
  <c r="Q104" s="1"/>
  <c r="K104"/>
  <c r="Q146"/>
  <c r="J114"/>
  <c r="Q114" s="1"/>
  <c r="G82"/>
  <c r="H82"/>
  <c r="I82"/>
  <c r="K82"/>
  <c r="L82"/>
  <c r="M82"/>
  <c r="N82"/>
  <c r="O82"/>
  <c r="P82"/>
  <c r="I149"/>
  <c r="E94"/>
  <c r="Q94" s="1"/>
  <c r="O31"/>
  <c r="K31"/>
  <c r="H34"/>
  <c r="O76"/>
  <c r="F88"/>
  <c r="F82" s="1"/>
  <c r="J99"/>
  <c r="E99"/>
  <c r="Q132"/>
  <c r="Q126"/>
  <c r="E138"/>
  <c r="G170"/>
  <c r="H170"/>
  <c r="I170"/>
  <c r="K170"/>
  <c r="L170"/>
  <c r="M170"/>
  <c r="N170"/>
  <c r="O170"/>
  <c r="J177"/>
  <c r="F177"/>
  <c r="J143"/>
  <c r="G108"/>
  <c r="H108"/>
  <c r="I108"/>
  <c r="L108"/>
  <c r="M108"/>
  <c r="N108"/>
  <c r="O108"/>
  <c r="P108"/>
  <c r="O20"/>
  <c r="K20"/>
  <c r="F18"/>
  <c r="F113"/>
  <c r="F108" s="1"/>
  <c r="F19"/>
  <c r="F64"/>
  <c r="F56" s="1"/>
  <c r="Q138" l="1"/>
  <c r="F170"/>
  <c r="K108"/>
  <c r="Q99"/>
  <c r="E177"/>
  <c r="Q177" s="1"/>
  <c r="E119"/>
  <c r="J87"/>
  <c r="K56"/>
  <c r="J119" l="1"/>
  <c r="Q119" s="1"/>
  <c r="E90"/>
  <c r="G31"/>
  <c r="H31"/>
  <c r="I31"/>
  <c r="P31"/>
  <c r="E100"/>
  <c r="E88"/>
  <c r="E86"/>
  <c r="O72"/>
  <c r="K72"/>
  <c r="E76"/>
  <c r="E74"/>
  <c r="J20"/>
  <c r="J160"/>
  <c r="J157"/>
  <c r="J158"/>
  <c r="J159"/>
  <c r="J149"/>
  <c r="E144"/>
  <c r="Q144" s="1"/>
  <c r="J113"/>
  <c r="E78"/>
  <c r="E79"/>
  <c r="E40"/>
  <c r="Q40" s="1"/>
  <c r="G72"/>
  <c r="H72"/>
  <c r="L72"/>
  <c r="M72"/>
  <c r="N72"/>
  <c r="P72"/>
  <c r="J100"/>
  <c r="J84"/>
  <c r="J85"/>
  <c r="J86"/>
  <c r="E154"/>
  <c r="Q154" s="1"/>
  <c r="E158"/>
  <c r="J39"/>
  <c r="J137"/>
  <c r="E127"/>
  <c r="E131"/>
  <c r="J89"/>
  <c r="J90"/>
  <c r="J78"/>
  <c r="J79"/>
  <c r="J80"/>
  <c r="J23"/>
  <c r="J24"/>
  <c r="J25"/>
  <c r="J26"/>
  <c r="Q26" s="1"/>
  <c r="J17"/>
  <c r="E17"/>
  <c r="J161"/>
  <c r="E161"/>
  <c r="E160"/>
  <c r="E159"/>
  <c r="E157"/>
  <c r="E156"/>
  <c r="Q156" s="1"/>
  <c r="J155"/>
  <c r="E155"/>
  <c r="P153"/>
  <c r="P152" s="1"/>
  <c r="O153"/>
  <c r="O152" s="1"/>
  <c r="N153"/>
  <c r="N152" s="1"/>
  <c r="M153"/>
  <c r="M152" s="1"/>
  <c r="L153"/>
  <c r="L152" s="1"/>
  <c r="K153"/>
  <c r="K152" s="1"/>
  <c r="I153"/>
  <c r="I152" s="1"/>
  <c r="H153"/>
  <c r="H152" s="1"/>
  <c r="G153"/>
  <c r="G152" s="1"/>
  <c r="L97"/>
  <c r="I72"/>
  <c r="E75"/>
  <c r="F31"/>
  <c r="E93"/>
  <c r="E92"/>
  <c r="E89"/>
  <c r="E85"/>
  <c r="E84"/>
  <c r="E91"/>
  <c r="E87"/>
  <c r="E83"/>
  <c r="J112"/>
  <c r="J145"/>
  <c r="E145"/>
  <c r="P15"/>
  <c r="P14" s="1"/>
  <c r="G15"/>
  <c r="G14" s="1"/>
  <c r="H15"/>
  <c r="H14" s="1"/>
  <c r="I15"/>
  <c r="I14" s="1"/>
  <c r="K15"/>
  <c r="K14" s="1"/>
  <c r="E82" l="1"/>
  <c r="Q158"/>
  <c r="Q159"/>
  <c r="F72"/>
  <c r="F153"/>
  <c r="F152" s="1"/>
  <c r="Q157"/>
  <c r="J153"/>
  <c r="J152" s="1"/>
  <c r="Q100"/>
  <c r="K120"/>
  <c r="O120"/>
  <c r="Q17"/>
  <c r="Q131"/>
  <c r="Q155"/>
  <c r="Q160"/>
  <c r="Q161"/>
  <c r="F44"/>
  <c r="K97"/>
  <c r="E153"/>
  <c r="E152" s="1"/>
  <c r="O97"/>
  <c r="Q145"/>
  <c r="Q92"/>
  <c r="Q91"/>
  <c r="Q90"/>
  <c r="Q89"/>
  <c r="Q87"/>
  <c r="Q86"/>
  <c r="Q85"/>
  <c r="Q79"/>
  <c r="Q78"/>
  <c r="Q127"/>
  <c r="J105"/>
  <c r="J103"/>
  <c r="J101"/>
  <c r="J95"/>
  <c r="Q95" s="1"/>
  <c r="J88"/>
  <c r="Q88" s="1"/>
  <c r="J116"/>
  <c r="J110"/>
  <c r="N120"/>
  <c r="M120"/>
  <c r="L120"/>
  <c r="J122"/>
  <c r="J121" s="1"/>
  <c r="Q153" l="1"/>
  <c r="Q152" s="1"/>
  <c r="J34"/>
  <c r="O30"/>
  <c r="J37"/>
  <c r="J83"/>
  <c r="J45"/>
  <c r="J52"/>
  <c r="J46"/>
  <c r="J47"/>
  <c r="J36"/>
  <c r="E34"/>
  <c r="E69"/>
  <c r="E70"/>
  <c r="Q70" s="1"/>
  <c r="E68"/>
  <c r="E67"/>
  <c r="E66"/>
  <c r="E65"/>
  <c r="E64"/>
  <c r="E62"/>
  <c r="E59"/>
  <c r="Q59" s="1"/>
  <c r="E60"/>
  <c r="Q60" s="1"/>
  <c r="E58"/>
  <c r="Q58" s="1"/>
  <c r="H56"/>
  <c r="H55" s="1"/>
  <c r="I56"/>
  <c r="I55" s="1"/>
  <c r="K55"/>
  <c r="L56"/>
  <c r="L55" s="1"/>
  <c r="M56"/>
  <c r="M55" s="1"/>
  <c r="N56"/>
  <c r="N55" s="1"/>
  <c r="O56"/>
  <c r="O55" s="1"/>
  <c r="P56"/>
  <c r="P55" s="1"/>
  <c r="E63"/>
  <c r="G56"/>
  <c r="G55" s="1"/>
  <c r="E61"/>
  <c r="Q61" s="1"/>
  <c r="J65"/>
  <c r="J62"/>
  <c r="E81"/>
  <c r="O96"/>
  <c r="G81"/>
  <c r="H81"/>
  <c r="F81"/>
  <c r="E98"/>
  <c r="F15"/>
  <c r="F14" s="1"/>
  <c r="F43"/>
  <c r="J51"/>
  <c r="J54"/>
  <c r="E54"/>
  <c r="E51"/>
  <c r="E45"/>
  <c r="G44"/>
  <c r="G43" s="1"/>
  <c r="H44"/>
  <c r="H43" s="1"/>
  <c r="I44"/>
  <c r="I43" s="1"/>
  <c r="K44"/>
  <c r="K43" s="1"/>
  <c r="L44"/>
  <c r="L43" s="1"/>
  <c r="M44"/>
  <c r="M43" s="1"/>
  <c r="N44"/>
  <c r="N43" s="1"/>
  <c r="O44"/>
  <c r="O43" s="1"/>
  <c r="P44"/>
  <c r="P43" s="1"/>
  <c r="J63"/>
  <c r="J76"/>
  <c r="Q76" s="1"/>
  <c r="J74"/>
  <c r="Q74" s="1"/>
  <c r="E20"/>
  <c r="Q20" s="1"/>
  <c r="E167"/>
  <c r="Q167" s="1"/>
  <c r="P163"/>
  <c r="P162" s="1"/>
  <c r="O163"/>
  <c r="O162" s="1"/>
  <c r="N163"/>
  <c r="N162" s="1"/>
  <c r="M163"/>
  <c r="M162" s="1"/>
  <c r="L163"/>
  <c r="L162" s="1"/>
  <c r="K163"/>
  <c r="K162" s="1"/>
  <c r="I163"/>
  <c r="I162" s="1"/>
  <c r="H163"/>
  <c r="H162" s="1"/>
  <c r="G163"/>
  <c r="G162" s="1"/>
  <c r="F163"/>
  <c r="F162" s="1"/>
  <c r="J164"/>
  <c r="E164"/>
  <c r="P142"/>
  <c r="P141" s="1"/>
  <c r="O142"/>
  <c r="O141" s="1"/>
  <c r="N142"/>
  <c r="N141" s="1"/>
  <c r="M142"/>
  <c r="M141" s="1"/>
  <c r="L142"/>
  <c r="L141" s="1"/>
  <c r="K142"/>
  <c r="K141" s="1"/>
  <c r="I142"/>
  <c r="I141" s="1"/>
  <c r="H142"/>
  <c r="H141" s="1"/>
  <c r="G142"/>
  <c r="G141" s="1"/>
  <c r="F142"/>
  <c r="F141" s="1"/>
  <c r="E143"/>
  <c r="E57"/>
  <c r="Q57" s="1"/>
  <c r="J151"/>
  <c r="E148"/>
  <c r="Q148" s="1"/>
  <c r="E149"/>
  <c r="E151"/>
  <c r="E165"/>
  <c r="J165"/>
  <c r="J168"/>
  <c r="E147"/>
  <c r="G135"/>
  <c r="G134" s="1"/>
  <c r="H135"/>
  <c r="H134" s="1"/>
  <c r="I135"/>
  <c r="I134" s="1"/>
  <c r="K135"/>
  <c r="K134" s="1"/>
  <c r="L135"/>
  <c r="L134" s="1"/>
  <c r="M135"/>
  <c r="M134" s="1"/>
  <c r="N135"/>
  <c r="N134" s="1"/>
  <c r="O135"/>
  <c r="O134" s="1"/>
  <c r="P135"/>
  <c r="P134" s="1"/>
  <c r="F135"/>
  <c r="F134" s="1"/>
  <c r="E47"/>
  <c r="E27"/>
  <c r="Q27" s="1"/>
  <c r="E118"/>
  <c r="E175"/>
  <c r="E106"/>
  <c r="E39"/>
  <c r="Q39" s="1"/>
  <c r="E38"/>
  <c r="E37"/>
  <c r="E137"/>
  <c r="Q137" s="1"/>
  <c r="E116"/>
  <c r="Q116" s="1"/>
  <c r="E117"/>
  <c r="E112"/>
  <c r="Q112" s="1"/>
  <c r="E110"/>
  <c r="Q110" s="1"/>
  <c r="E111"/>
  <c r="Q111" s="1"/>
  <c r="E105"/>
  <c r="Q105" s="1"/>
  <c r="Q101"/>
  <c r="E102"/>
  <c r="E103"/>
  <c r="Q103" s="1"/>
  <c r="E80"/>
  <c r="Q80" s="1"/>
  <c r="E77"/>
  <c r="E22"/>
  <c r="Q22" s="1"/>
  <c r="E23"/>
  <c r="Q23" s="1"/>
  <c r="E24"/>
  <c r="Q24" s="1"/>
  <c r="J21"/>
  <c r="E21"/>
  <c r="E25"/>
  <c r="Q25" s="1"/>
  <c r="F169"/>
  <c r="G169"/>
  <c r="H169"/>
  <c r="I169"/>
  <c r="K169"/>
  <c r="L169"/>
  <c r="M169"/>
  <c r="N169"/>
  <c r="O169"/>
  <c r="P170"/>
  <c r="P169" s="1"/>
  <c r="J176"/>
  <c r="J175"/>
  <c r="J174"/>
  <c r="J173"/>
  <c r="J172"/>
  <c r="J171"/>
  <c r="E176"/>
  <c r="Q176" s="1"/>
  <c r="E173"/>
  <c r="E172"/>
  <c r="E171"/>
  <c r="J140"/>
  <c r="J136"/>
  <c r="E136"/>
  <c r="F120"/>
  <c r="G120"/>
  <c r="H120"/>
  <c r="I120"/>
  <c r="P120"/>
  <c r="E122"/>
  <c r="G107"/>
  <c r="H107"/>
  <c r="I107"/>
  <c r="K107"/>
  <c r="L107"/>
  <c r="M107"/>
  <c r="N107"/>
  <c r="O107"/>
  <c r="P107"/>
  <c r="J118"/>
  <c r="J117"/>
  <c r="J109"/>
  <c r="E109"/>
  <c r="F97"/>
  <c r="F96" s="1"/>
  <c r="G97"/>
  <c r="G96" s="1"/>
  <c r="H97"/>
  <c r="H96" s="1"/>
  <c r="I97"/>
  <c r="I96" s="1"/>
  <c r="K96"/>
  <c r="L96"/>
  <c r="M97"/>
  <c r="M96" s="1"/>
  <c r="N97"/>
  <c r="N96" s="1"/>
  <c r="P97"/>
  <c r="P96" s="1"/>
  <c r="J106"/>
  <c r="J102"/>
  <c r="J98"/>
  <c r="I81"/>
  <c r="K81"/>
  <c r="L81"/>
  <c r="M81"/>
  <c r="N81"/>
  <c r="O81"/>
  <c r="P81"/>
  <c r="J93"/>
  <c r="Q93" s="1"/>
  <c r="Q84"/>
  <c r="F71"/>
  <c r="G71"/>
  <c r="H71"/>
  <c r="I71"/>
  <c r="K71"/>
  <c r="L71"/>
  <c r="M71"/>
  <c r="N71"/>
  <c r="O71"/>
  <c r="P71"/>
  <c r="J77"/>
  <c r="J75"/>
  <c r="Q75" s="1"/>
  <c r="J73"/>
  <c r="E73"/>
  <c r="J69"/>
  <c r="J64"/>
  <c r="J66"/>
  <c r="J67"/>
  <c r="J68"/>
  <c r="E41"/>
  <c r="E36"/>
  <c r="E35"/>
  <c r="E33"/>
  <c r="E32"/>
  <c r="J53"/>
  <c r="J50"/>
  <c r="J49"/>
  <c r="J48"/>
  <c r="E53"/>
  <c r="E52"/>
  <c r="E50"/>
  <c r="E49"/>
  <c r="E48"/>
  <c r="E46"/>
  <c r="E18"/>
  <c r="E28"/>
  <c r="E166"/>
  <c r="E168"/>
  <c r="E29"/>
  <c r="E16"/>
  <c r="F30"/>
  <c r="G30"/>
  <c r="H30"/>
  <c r="I30"/>
  <c r="K30"/>
  <c r="L30"/>
  <c r="M30"/>
  <c r="N30"/>
  <c r="P30"/>
  <c r="J41"/>
  <c r="J35"/>
  <c r="J32"/>
  <c r="L15"/>
  <c r="L14" s="1"/>
  <c r="M15"/>
  <c r="M14" s="1"/>
  <c r="N15"/>
  <c r="N14" s="1"/>
  <c r="O15"/>
  <c r="O14" s="1"/>
  <c r="J18"/>
  <c r="J19"/>
  <c r="J28"/>
  <c r="J166"/>
  <c r="J29"/>
  <c r="E140"/>
  <c r="E19"/>
  <c r="Q122" l="1"/>
  <c r="Q121" s="1"/>
  <c r="E121"/>
  <c r="E120" s="1"/>
  <c r="Q83"/>
  <c r="Q82" s="1"/>
  <c r="J82"/>
  <c r="E170"/>
  <c r="J170"/>
  <c r="J169" s="1"/>
  <c r="E135"/>
  <c r="E134" s="1"/>
  <c r="E142"/>
  <c r="E141" s="1"/>
  <c r="J108"/>
  <c r="J107" s="1"/>
  <c r="Q51"/>
  <c r="Q53"/>
  <c r="E56"/>
  <c r="Q52"/>
  <c r="E31"/>
  <c r="E30" s="1"/>
  <c r="E113"/>
  <c r="Q113" s="1"/>
  <c r="F107"/>
  <c r="J72"/>
  <c r="J71" s="1"/>
  <c r="E72"/>
  <c r="E71" s="1"/>
  <c r="Q47"/>
  <c r="J120"/>
  <c r="G178"/>
  <c r="Q168"/>
  <c r="P178"/>
  <c r="N178"/>
  <c r="L178"/>
  <c r="I178"/>
  <c r="M178"/>
  <c r="O178"/>
  <c r="H178"/>
  <c r="K178"/>
  <c r="F55"/>
  <c r="Q36"/>
  <c r="E163"/>
  <c r="E162" s="1"/>
  <c r="Q140"/>
  <c r="Q45"/>
  <c r="J135"/>
  <c r="J134" s="1"/>
  <c r="Q37"/>
  <c r="Q165"/>
  <c r="J15"/>
  <c r="J14" s="1"/>
  <c r="J33"/>
  <c r="Q33" s="1"/>
  <c r="Q34"/>
  <c r="Q29"/>
  <c r="Q46"/>
  <c r="Q49"/>
  <c r="Q73"/>
  <c r="Q109"/>
  <c r="Q136"/>
  <c r="Q172"/>
  <c r="Q174"/>
  <c r="Q38"/>
  <c r="Q151"/>
  <c r="Q143"/>
  <c r="Q166"/>
  <c r="Q35"/>
  <c r="Q41"/>
  <c r="Q77"/>
  <c r="Q106"/>
  <c r="Q118"/>
  <c r="Q149"/>
  <c r="Q64"/>
  <c r="Q66"/>
  <c r="Q68"/>
  <c r="Q69"/>
  <c r="E15"/>
  <c r="E14" s="1"/>
  <c r="Q19"/>
  <c r="Q16"/>
  <c r="Q28"/>
  <c r="Q18"/>
  <c r="Q48"/>
  <c r="Q50"/>
  <c r="Q32"/>
  <c r="J56"/>
  <c r="J55" s="1"/>
  <c r="J97"/>
  <c r="J96" s="1"/>
  <c r="Q171"/>
  <c r="Q173"/>
  <c r="Q21"/>
  <c r="Q102"/>
  <c r="Q117"/>
  <c r="Q175"/>
  <c r="Q147"/>
  <c r="Q164"/>
  <c r="Q54"/>
  <c r="Q98"/>
  <c r="Q63"/>
  <c r="Q62"/>
  <c r="Q65"/>
  <c r="Q67"/>
  <c r="J142"/>
  <c r="J163"/>
  <c r="J162" s="1"/>
  <c r="E97"/>
  <c r="J44"/>
  <c r="J43" s="1"/>
  <c r="E44"/>
  <c r="Q31" l="1"/>
  <c r="J31"/>
  <c r="J30" s="1"/>
  <c r="Q30" s="1"/>
  <c r="Q108"/>
  <c r="E108"/>
  <c r="E107" s="1"/>
  <c r="Q107" s="1"/>
  <c r="Q71"/>
  <c r="Q72"/>
  <c r="Q134"/>
  <c r="F178"/>
  <c r="Q15"/>
  <c r="Q14" s="1"/>
  <c r="J81"/>
  <c r="Q81" s="1"/>
  <c r="Q135"/>
  <c r="E55"/>
  <c r="Q55" s="1"/>
  <c r="Q56"/>
  <c r="E169"/>
  <c r="Q169" s="1"/>
  <c r="Q170"/>
  <c r="E96"/>
  <c r="Q96" s="1"/>
  <c r="Q97"/>
  <c r="Q162"/>
  <c r="E43"/>
  <c r="Q43" s="1"/>
  <c r="Q44"/>
  <c r="Q163"/>
  <c r="J141"/>
  <c r="Q142"/>
  <c r="Q120"/>
  <c r="J178" l="1"/>
  <c r="E178"/>
  <c r="Q141"/>
  <c r="Q178" s="1"/>
</calcChain>
</file>

<file path=xl/sharedStrings.xml><?xml version="1.0" encoding="utf-8"?>
<sst xmlns="http://schemas.openxmlformats.org/spreadsheetml/2006/main" count="632" uniqueCount="436">
  <si>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</si>
  <si>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</si>
  <si>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</si>
  <si>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</si>
  <si>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</si>
  <si>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</si>
  <si>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</si>
  <si>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</si>
  <si>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</si>
  <si>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</si>
  <si>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</si>
  <si>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</si>
  <si>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</si>
  <si>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</si>
  <si>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</si>
  <si>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</si>
  <si>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</si>
  <si>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</si>
  <si>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</si>
  <si>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</si>
  <si>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</si>
  <si>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</si>
  <si>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</si>
  <si>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</si>
  <si>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</si>
  <si>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</si>
  <si>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</si>
  <si>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</si>
  <si>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</si>
  <si>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</si>
  <si>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</si>
  <si>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</si>
  <si>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</si>
  <si>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</si>
  <si>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</si>
  <si>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</si>
  <si>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</si>
  <si>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1500000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</si>
  <si>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</si>
  <si>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</si>
  <si>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</si>
  <si>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</si>
  <si>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</si>
  <si>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</si>
  <si>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</si>
  <si>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</si>
  <si>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</si>
  <si>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 xml:space="preserve">Секретар міської ради 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</si>
  <si>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</si>
  <si>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</si>
  <si>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</si>
  <si>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</si>
  <si>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</si>
  <si>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</si>
  <si>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</si>
  <si>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</si>
  <si>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</si>
  <si>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</si>
  <si>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</si>
  <si>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</si>
  <si>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</si>
  <si>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</si>
  <si>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</si>
  <si>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</si>
  <si>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</si>
  <si>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</si>
  <si>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</si>
  <si>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6017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</si>
  <si>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</si>
  <si>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</si>
  <si>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</si>
  <si>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</si>
  <si>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</si>
  <si>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</si>
  <si>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</si>
  <si>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</si>
  <si>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</si>
  <si>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</si>
  <si>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</si>
  <si>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</si>
  <si>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</si>
  <si>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</si>
  <si>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</si>
  <si>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</si>
  <si>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</si>
  <si>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</si>
  <si>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</si>
  <si>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</si>
  <si>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</si>
  <si>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</si>
  <si>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</si>
  <si>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</si>
  <si>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</si>
  <si>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</si>
  <si>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</si>
  <si>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</si>
  <si>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</si>
  <si>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</si>
  <si>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</si>
  <si>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</si>
  <si>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</si>
  <si>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</si>
  <si>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</si>
  <si>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</si>
  <si>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</si>
  <si>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</si>
  <si>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</si>
  <si>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</si>
  <si>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</si>
  <si>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</si>
  <si>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</si>
  <si>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</si>
  <si>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</si>
  <si>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</si>
  <si>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</si>
  <si>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</si>
  <si>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</si>
  <si>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</si>
  <si>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</si>
  <si>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0611020</t>
  </si>
  <si>
    <t>1020</t>
  </si>
  <si>
    <t>0921</t>
  </si>
  <si>
    <t>1030</t>
  </si>
  <si>
    <t>0611090</t>
  </si>
  <si>
    <t>1090</t>
  </si>
  <si>
    <t>0960</t>
  </si>
  <si>
    <t>0611110</t>
  </si>
  <si>
    <t>1110</t>
  </si>
  <si>
    <t>0930</t>
  </si>
  <si>
    <t>0611150</t>
  </si>
  <si>
    <t>1150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</si>
  <si>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</si>
  <si>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</si>
  <si>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</si>
  <si>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</si>
  <si>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</si>
  <si>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</si>
  <si>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</si>
  <si>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</si>
  <si>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</si>
  <si>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</si>
  <si>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</si>
  <si>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9770</t>
  </si>
  <si>
    <t>Інші субвенції з місцевого бюджету</t>
  </si>
  <si>
    <t>0710160</t>
  </si>
  <si>
    <t>0712010</t>
  </si>
  <si>
    <t>2010</t>
  </si>
  <si>
    <t>0731</t>
  </si>
  <si>
    <t>Багатопрофільна стаціонарна медична допомога населенню</t>
  </si>
  <si>
    <t>0712100</t>
  </si>
  <si>
    <t>2100</t>
  </si>
  <si>
    <t>0722</t>
  </si>
  <si>
    <t>Стоматологічна допомога населенню</t>
  </si>
  <si>
    <t>0712111</t>
  </si>
  <si>
    <t>2111</t>
  </si>
  <si>
    <t>0726</t>
  </si>
  <si>
    <t>0712120</t>
  </si>
  <si>
    <t>2120</t>
  </si>
  <si>
    <t>0740</t>
  </si>
  <si>
    <t>Інформаційно- методичне та просвітницьке забезпечення в галузі охорони здоровя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</si>
  <si>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</si>
  <si>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</si>
  <si>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</si>
  <si>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</si>
  <si>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</si>
  <si>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</si>
  <si>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</si>
  <si>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</si>
  <si>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</si>
  <si>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</si>
  <si>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</si>
  <si>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</si>
  <si>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</si>
  <si>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</si>
  <si>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</si>
  <si>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</si>
  <si>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</si>
  <si>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</si>
  <si>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</si>
  <si>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</si>
  <si>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</si>
  <si>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</si>
  <si>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</si>
  <si>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</si>
  <si>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</si>
  <si>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</si>
  <si>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</si>
  <si>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</si>
  <si>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</si>
  <si>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</si>
  <si>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</si>
  <si>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</si>
  <si>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</si>
  <si>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</si>
  <si>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</si>
  <si>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</si>
  <si>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</si>
  <si>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</si>
  <si>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</si>
  <si>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</si>
  <si>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</si>
  <si>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1011100</t>
  </si>
  <si>
    <t>1100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</si>
  <si>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</si>
  <si>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</si>
  <si>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</si>
  <si>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</si>
  <si>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</si>
  <si>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</si>
  <si>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</si>
  <si>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</si>
  <si>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</si>
  <si>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</si>
  <si>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</si>
  <si>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</si>
  <si>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</si>
  <si>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</si>
  <si>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</si>
  <si>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</si>
  <si>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</si>
  <si>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</si>
  <si>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</si>
  <si>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</si>
  <si>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</si>
  <si>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</si>
  <si>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</si>
  <si>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</si>
  <si>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</si>
  <si>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Утримання та забезпечення діяльності центрів соціальних служб для сім’ї, дітей та молоді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</si>
  <si>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</si>
  <si>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</si>
  <si>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</si>
  <si>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</si>
  <si>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</si>
  <si>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</si>
  <si>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</si>
  <si>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</si>
  <si>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</si>
  <si>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</si>
  <si>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</si>
  <si>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</si>
  <si>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</si>
  <si>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</si>
  <si>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</si>
  <si>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</si>
  <si>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</si>
  <si>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</si>
  <si>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</si>
  <si>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</si>
  <si>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</si>
  <si>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</si>
  <si>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</si>
  <si>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</si>
  <si>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</si>
  <si>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</si>
  <si>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</si>
  <si>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</t>
  </si>
  <si>
    <t>1210160</t>
  </si>
  <si>
    <t>1216017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</si>
  <si>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</si>
  <si>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</si>
  <si>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</si>
  <si>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</si>
  <si>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</si>
  <si>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</si>
  <si>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</si>
  <si>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</si>
  <si>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</si>
  <si>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</si>
  <si>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</si>
  <si>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1416013</t>
  </si>
  <si>
    <t>6013</t>
  </si>
  <si>
    <t>Забезпечення діяльності водопровідно-каналізаційного господарства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</si>
  <si>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</si>
  <si>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</si>
  <si>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</si>
  <si>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</si>
  <si>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</si>
  <si>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</si>
  <si>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</si>
  <si>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</si>
  <si>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</si>
  <si>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</si>
  <si>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</si>
  <si>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</si>
  <si>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</si>
  <si>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</si>
  <si>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</si>
  <si>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</si>
  <si>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</si>
  <si>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</si>
  <si>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</si>
  <si>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</si>
  <si>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</si>
  <si>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3717693</t>
  </si>
  <si>
    <t>3718600</t>
  </si>
  <si>
    <t>8600</t>
  </si>
  <si>
    <t>Обслуговування місцевого боргу</t>
  </si>
  <si>
    <t>3718700</t>
  </si>
  <si>
    <t>8700</t>
  </si>
  <si>
    <t xml:space="preserve">Резервний фонд </t>
  </si>
  <si>
    <t>3719110</t>
  </si>
  <si>
    <t>9110</t>
  </si>
  <si>
    <t>Реверсна дотація</t>
  </si>
  <si>
    <t>3719770</t>
  </si>
  <si>
    <t>Керівництво і управління у  відповідній сфері у містах (місті Києві), селищах, селах, об"єднаних територіальних громадах</t>
  </si>
  <si>
    <t>1614082</t>
  </si>
  <si>
    <t>0721</t>
  </si>
  <si>
    <t>2080</t>
  </si>
  <si>
    <t>Амбулаторно-поліклінічна допомога населенню,крім первинної медичної допомоги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</si>
  <si>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</si>
  <si>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</si>
  <si>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</si>
  <si>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</si>
  <si>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</si>
  <si>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</si>
  <si>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</si>
  <si>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</si>
  <si>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</si>
  <si>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</si>
  <si>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</si>
  <si>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</si>
  <si>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</si>
  <si>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</si>
  <si>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0216083</t>
  </si>
  <si>
    <t>до рішення міської ради</t>
  </si>
  <si>
    <t>Н.М.Чиж</t>
  </si>
  <si>
    <t>0712080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</si>
  <si>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</si>
  <si>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</si>
  <si>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</si>
  <si>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</si>
  <si>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0719770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</si>
  <si>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</si>
  <si>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</si>
  <si>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</si>
  <si>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0813032</t>
  </si>
  <si>
    <t>0819770</t>
  </si>
  <si>
    <t>_______________ № __________</t>
  </si>
  <si>
    <t>Первинна  медична допомога населенню, що надається центрами первинної медичної                     (медико-санітарної) допомоги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</si>
  <si>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</si>
  <si>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</si>
  <si>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</si>
  <si>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</si>
  <si>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</si>
  <si>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</si>
  <si>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1517325</t>
  </si>
  <si>
    <t>7325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</si>
  <si>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</si>
  <si>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</si>
  <si>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</si>
  <si>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</si>
  <si>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</si>
  <si>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2710180</t>
  </si>
  <si>
    <t>2713242</t>
  </si>
  <si>
    <t>2714030</t>
  </si>
  <si>
    <t>2714060</t>
  </si>
  <si>
    <t>2714082</t>
  </si>
  <si>
    <t>2716030</t>
  </si>
  <si>
    <t>2717461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</si>
  <si>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8"/>
        <rFont val="Times New Roman"/>
        <family val="1"/>
        <charset val="204"/>
      </rPr>
      <t>споруд, установ та закладів фізичної культури і спорту</t>
    </r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</si>
  <si>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</si>
  <si>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</si>
  <si>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</si>
  <si>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</si>
  <si>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</si>
  <si>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</si>
  <si>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1517461</t>
  </si>
  <si>
    <t>6014</t>
  </si>
  <si>
    <t>1216014</t>
  </si>
  <si>
    <t>Забезпечення збору та вивезення сміття і відходів</t>
  </si>
  <si>
    <t>0611170</t>
  </si>
  <si>
    <t>1170</t>
  </si>
  <si>
    <t>Забезпечення діяльності інклюзивно-ресурсних центрів</t>
  </si>
  <si>
    <t>1418340</t>
  </si>
  <si>
    <t>видатків  бюджету Житомирської міської об'єднаної територіальної громади  на 2020 рік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</si>
  <si>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</si>
  <si>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</si>
  <si>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</si>
  <si>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</si>
  <si>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</si>
  <si>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Надання соціальних нарантій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</si>
  <si>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1417670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</si>
  <si>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</si>
  <si>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</si>
  <si>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</si>
  <si>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1617130</t>
  </si>
  <si>
    <t>7130</t>
  </si>
  <si>
    <t>Здійснення заходів із землеустрою</t>
  </si>
  <si>
    <t>0421</t>
  </si>
  <si>
    <t>1517322</t>
  </si>
  <si>
    <t>7322</t>
  </si>
  <si>
    <t>1517640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</si>
  <si>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</si>
  <si>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 xml:space="preserve">Заходи з енергозбереження </t>
  </si>
  <si>
    <t>6011</t>
  </si>
  <si>
    <t>Експлуатація та технічне обслуговування житлового фонду</t>
  </si>
  <si>
    <t>1216011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</si>
  <si>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</si>
  <si>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</si>
  <si>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</si>
  <si>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</si>
  <si>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1115062</t>
  </si>
  <si>
    <t>5062</t>
  </si>
  <si>
    <t>підтримка спорту виищих досягнень та організацій, які здійснюють фізкультурно-спортивну діяльність в регіоні</t>
  </si>
  <si>
    <t>1217310</t>
  </si>
  <si>
    <t>7310</t>
  </si>
  <si>
    <t>1917370</t>
  </si>
  <si>
    <t>Будівництво об'єктів житлово-комунального господарства</t>
  </si>
  <si>
    <t>1417310</t>
  </si>
  <si>
    <t>Будівництво1 об'єктів житлово-комунального господарства</t>
  </si>
  <si>
    <t>Внески до статутного капіталу суб"єктів господарювання</t>
  </si>
  <si>
    <t>1617660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</si>
  <si>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</si>
  <si>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</si>
  <si>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1517310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</si>
  <si>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</si>
  <si>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1517321</t>
  </si>
  <si>
    <t>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</si>
  <si>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</si>
  <si>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</si>
  <si>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t>1517330</t>
  </si>
  <si>
    <t>7330</t>
  </si>
  <si>
    <t>1917670</t>
  </si>
  <si>
    <t>0617321</t>
  </si>
  <si>
    <t>Підготовка   кадрів закладами  професійної (професійно--технічної) освіти  та іншими закладами освіти</t>
  </si>
  <si>
    <t>1517363</t>
  </si>
  <si>
    <t>7363</t>
  </si>
  <si>
    <t>Виконання інвестиційних проєктів в рамках здійснення заходів щодо соціально-економічного розвитку окремих територій</t>
  </si>
  <si>
    <t>1517361</t>
  </si>
  <si>
    <t>7361</t>
  </si>
  <si>
    <t>1519770</t>
  </si>
  <si>
    <t>Співфінансування  інвестиційних проектів, що реалізуються за рахунок коштів державного фонду регіонального розвитку</t>
  </si>
  <si>
    <t>1511020</t>
  </si>
  <si>
    <t>Заступник директора департаменту бюджету та фінансів Житомирської міської ради</t>
  </si>
  <si>
    <t>Т.А.Грищук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</si>
</sst>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9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8"/>
      <name val="Arial Cyr"/>
      <charset val="204"/>
    </font>
    <font>
      <b/>
      <sz val="20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sz val="3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b/>
      <sz val="33"/>
      <color indexed="10"/>
      <name val="Times New Roman"/>
      <family val="1"/>
      <charset val="204"/>
    </font>
    <font>
      <b/>
      <i/>
      <sz val="33"/>
      <name val="Times New Roman"/>
      <family val="1"/>
      <charset val="204"/>
    </font>
    <font>
      <sz val="26"/>
      <name val="Times New Roman"/>
      <family val="1"/>
      <charset val="204"/>
    </font>
    <font>
      <sz val="14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1" applyNumberFormat="0" applyAlignment="0" applyProtection="0"/>
    <xf numFmtId="0" fontId="36" fillId="0" borderId="6" applyNumberFormat="0" applyFill="0" applyAlignment="0" applyProtection="0"/>
    <xf numFmtId="0" fontId="37" fillId="22" borderId="0" applyNumberFormat="0" applyBorder="0" applyAlignment="0" applyProtection="0"/>
    <xf numFmtId="0" fontId="1" fillId="23" borderId="7" applyNumberFormat="0" applyFont="0" applyAlignment="0" applyProtection="0"/>
    <xf numFmtId="0" fontId="38" fillId="20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4" fillId="0" borderId="0" xfId="0" applyFont="1" applyFill="1" applyBorder="1"/>
    <xf numFmtId="49" fontId="14" fillId="0" borderId="0" xfId="0" applyNumberFormat="1" applyFont="1" applyFill="1" applyBorder="1"/>
    <xf numFmtId="164" fontId="24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3" fillId="0" borderId="0" xfId="0" applyFont="1" applyFill="1" applyAlignment="1">
      <alignment vertical="center" wrapText="1"/>
    </xf>
    <xf numFmtId="49" fontId="14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>
      <alignment vertical="center" wrapText="1"/>
    </xf>
    <xf numFmtId="0" fontId="13" fillId="0" borderId="0" xfId="0" applyFont="1" applyFill="1" applyBorder="1"/>
    <xf numFmtId="0" fontId="19" fillId="0" borderId="11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13" fillId="0" borderId="0" xfId="0" applyFont="1" applyFill="1"/>
    <xf numFmtId="49" fontId="14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49" fontId="45" fillId="0" borderId="10" xfId="0" applyNumberFormat="1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 wrapText="1"/>
    </xf>
    <xf numFmtId="0" fontId="47" fillId="0" borderId="0" xfId="0" applyFont="1" applyFill="1"/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0" fontId="19" fillId="0" borderId="10" xfId="42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/>
    </xf>
    <xf numFmtId="0" fontId="49" fillId="0" borderId="0" xfId="0" applyFont="1" applyFill="1"/>
    <xf numFmtId="0" fontId="48" fillId="0" borderId="0" xfId="0" applyFont="1" applyFill="1"/>
    <xf numFmtId="0" fontId="48" fillId="0" borderId="0" xfId="0" applyFont="1" applyFill="1" applyAlignment="1">
      <alignment horizontal="right" wrapText="1"/>
    </xf>
    <xf numFmtId="0" fontId="48" fillId="0" borderId="0" xfId="0" applyFont="1" applyFill="1" applyAlignment="1">
      <alignment horizontal="left"/>
    </xf>
    <xf numFmtId="0" fontId="48" fillId="0" borderId="0" xfId="0" applyFont="1" applyFill="1" applyAlignment="1">
      <alignment wrapText="1"/>
    </xf>
    <xf numFmtId="0" fontId="50" fillId="0" borderId="0" xfId="0" applyFont="1" applyFill="1"/>
    <xf numFmtId="0" fontId="51" fillId="0" borderId="0" xfId="0" applyFont="1" applyFill="1" applyBorder="1"/>
    <xf numFmtId="0" fontId="51" fillId="0" borderId="0" xfId="0" applyFont="1" applyFill="1" applyAlignment="1">
      <alignment horizontal="left" vertical="center"/>
    </xf>
    <xf numFmtId="0" fontId="51" fillId="0" borderId="0" xfId="0" applyFont="1" applyFill="1" applyAlignment="1"/>
    <xf numFmtId="0" fontId="12" fillId="0" borderId="10" xfId="0" applyFont="1" applyFill="1" applyBorder="1" applyAlignment="1">
      <alignment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" fontId="53" fillId="0" borderId="10" xfId="0" applyNumberFormat="1" applyFont="1" applyFill="1" applyBorder="1" applyAlignment="1">
      <alignment horizontal="center" vertical="center" wrapText="1"/>
    </xf>
    <xf numFmtId="4" fontId="54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0" fontId="57" fillId="0" borderId="0" xfId="0" applyFont="1" applyFill="1" applyBorder="1" applyAlignment="1"/>
    <xf numFmtId="0" fontId="24" fillId="0" borderId="15" xfId="0" applyFont="1" applyFill="1" applyBorder="1" applyAlignment="1">
      <alignment vertical="center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0" xfId="45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49" fontId="14" fillId="0" borderId="10" xfId="44" applyNumberFormat="1" applyFont="1" applyFill="1" applyBorder="1" applyAlignment="1">
      <alignment horizontal="center" vertical="center"/>
    </xf>
    <xf numFmtId="0" fontId="19" fillId="0" borderId="10" xfId="44" applyFont="1" applyFill="1" applyBorder="1" applyAlignment="1">
      <alignment horizontal="left" vertical="center" wrapText="1"/>
    </xf>
    <xf numFmtId="165" fontId="24" fillId="0" borderId="10" xfId="0" applyNumberFormat="1" applyFont="1" applyFill="1" applyBorder="1" applyAlignment="1">
      <alignment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  <xf numFmtId="0" fontId="24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57" fillId="0" borderId="0" xfId="0" applyNumberFormat="1" applyFont="1" applyFill="1" applyBorder="1" applyAlignment="1">
      <alignment horizont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8"/>
  <sheetViews>
    <sheetView showZeros="0" tabSelected="1" view="pageBreakPreview" topLeftCell="A4" zoomScale="30" zoomScaleNormal="57" zoomScaleSheetLayoutView="30" zoomScalePageLayoutView="55" workbookViewId="0">
      <pane xSplit="4" ySplit="9" topLeftCell="E127" activePane="bottomRight" state="frozen"/>
      <selection activeCell="A4" sqref="A4"/>
      <selection pane="topRight" activeCell="E4" sqref="E4"/>
      <selection pane="bottomLeft" activeCell="A13" sqref="A13"/>
      <selection pane="bottomRight" activeCell="K132" sqref="K132"/>
    </sheetView>
  </sheetViews>
  <sheetFormatPr defaultColWidth="9.140625" defaultRowHeight="25.5"/>
  <cols>
    <col min="1" max="1" width="18.28515625" style="1" customWidth="1"/>
    <col min="2" max="2" width="11.42578125" style="2" customWidth="1"/>
    <col min="3" max="3" width="13.140625" style="2" customWidth="1"/>
    <col min="4" max="4" width="35.28515625" style="16" customWidth="1"/>
    <col min="5" max="5" width="51.42578125" style="41" customWidth="1"/>
    <col min="6" max="6" width="51.140625" style="41" customWidth="1"/>
    <col min="7" max="7" width="53.140625" style="41" customWidth="1"/>
    <col min="8" max="8" width="47.28515625" style="41" customWidth="1"/>
    <col min="9" max="9" width="46.140625" style="41" customWidth="1"/>
    <col min="10" max="10" width="47.7109375" style="41" customWidth="1"/>
    <col min="11" max="11" width="46.28515625" style="41" customWidth="1"/>
    <col min="12" max="12" width="44" style="41" customWidth="1"/>
    <col min="13" max="13" width="38.5703125" style="41" customWidth="1"/>
    <col min="14" max="14" width="39" style="41" customWidth="1"/>
    <col min="15" max="15" width="47.140625" style="41" customWidth="1"/>
    <col min="16" max="16" width="34.28515625" style="41" hidden="1" customWidth="1"/>
    <col min="17" max="17" width="52.140625" style="41" customWidth="1"/>
    <col min="18" max="16384" width="9.140625" style="41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7" t="s">
        <v>0</v>
      </c>
      <c r="P1" s="87"/>
      <c r="Q1" s="87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7" t="s">
        <v>325</v>
      </c>
      <c r="P2" s="87"/>
      <c r="Q2" s="87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7" t="s">
        <v>338</v>
      </c>
      <c r="P3" s="87"/>
      <c r="Q3" s="87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8" t="s">
        <v>1</v>
      </c>
      <c r="B5" s="88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</row>
    <row r="6" spans="1:17" s="8" customFormat="1" ht="48" customHeight="1">
      <c r="A6" s="88" t="s">
        <v>375</v>
      </c>
      <c r="B6" s="88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s="31" customFormat="1" ht="37.5" customHeight="1">
      <c r="A7" s="95" t="s">
        <v>380</v>
      </c>
      <c r="B7" s="95"/>
      <c r="C7" s="95"/>
      <c r="D7" s="65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36" t="s">
        <v>2</v>
      </c>
    </row>
    <row r="8" spans="1:17" s="31" customFormat="1" ht="37.5" customHeight="1">
      <c r="A8" s="81" t="s">
        <v>376</v>
      </c>
      <c r="B8" s="81"/>
      <c r="C8" s="81"/>
      <c r="D8" s="66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36"/>
    </row>
    <row r="9" spans="1:17" s="31" customFormat="1" ht="38.25" customHeight="1">
      <c r="A9" s="86" t="s">
        <v>378</v>
      </c>
      <c r="B9" s="86" t="s">
        <v>377</v>
      </c>
      <c r="C9" s="86" t="s">
        <v>49</v>
      </c>
      <c r="D9" s="90" t="s">
        <v>379</v>
      </c>
      <c r="E9" s="82" t="s">
        <v>3</v>
      </c>
      <c r="F9" s="82"/>
      <c r="G9" s="82"/>
      <c r="H9" s="82"/>
      <c r="I9" s="91"/>
      <c r="J9" s="82" t="s">
        <v>4</v>
      </c>
      <c r="K9" s="82"/>
      <c r="L9" s="82"/>
      <c r="M9" s="82"/>
      <c r="N9" s="82"/>
      <c r="O9" s="82"/>
      <c r="P9" s="76"/>
      <c r="Q9" s="82" t="s">
        <v>5</v>
      </c>
    </row>
    <row r="10" spans="1:17" s="31" customFormat="1" ht="58.7" customHeight="1">
      <c r="A10" s="86"/>
      <c r="B10" s="86"/>
      <c r="C10" s="86"/>
      <c r="D10" s="90"/>
      <c r="E10" s="82" t="s">
        <v>50</v>
      </c>
      <c r="F10" s="82" t="s">
        <v>6</v>
      </c>
      <c r="G10" s="82" t="s">
        <v>8</v>
      </c>
      <c r="H10" s="82"/>
      <c r="I10" s="82" t="s">
        <v>7</v>
      </c>
      <c r="J10" s="82" t="s">
        <v>50</v>
      </c>
      <c r="K10" s="92" t="s">
        <v>51</v>
      </c>
      <c r="L10" s="82" t="s">
        <v>6</v>
      </c>
      <c r="M10" s="82" t="s">
        <v>8</v>
      </c>
      <c r="N10" s="82"/>
      <c r="O10" s="82" t="s">
        <v>7</v>
      </c>
      <c r="P10" s="76"/>
      <c r="Q10" s="82"/>
    </row>
    <row r="11" spans="1:17" s="31" customFormat="1" ht="35.25" customHeight="1">
      <c r="A11" s="86"/>
      <c r="B11" s="86"/>
      <c r="C11" s="86"/>
      <c r="D11" s="90"/>
      <c r="E11" s="82"/>
      <c r="F11" s="82"/>
      <c r="G11" s="82" t="s">
        <v>9</v>
      </c>
      <c r="H11" s="82" t="s">
        <v>10</v>
      </c>
      <c r="I11" s="82"/>
      <c r="J11" s="82"/>
      <c r="K11" s="93"/>
      <c r="L11" s="82"/>
      <c r="M11" s="82" t="s">
        <v>11</v>
      </c>
      <c r="N11" s="82" t="s">
        <v>12</v>
      </c>
      <c r="O11" s="82"/>
      <c r="P11" s="76"/>
      <c r="Q11" s="91"/>
    </row>
    <row r="12" spans="1:17" s="31" customFormat="1" ht="356.25" customHeight="1">
      <c r="A12" s="86"/>
      <c r="B12" s="86"/>
      <c r="C12" s="86"/>
      <c r="D12" s="90"/>
      <c r="E12" s="82"/>
      <c r="F12" s="82"/>
      <c r="G12" s="82"/>
      <c r="H12" s="82"/>
      <c r="I12" s="82"/>
      <c r="J12" s="82"/>
      <c r="K12" s="94"/>
      <c r="L12" s="82"/>
      <c r="M12" s="82"/>
      <c r="N12" s="82"/>
      <c r="O12" s="82"/>
      <c r="P12" s="77" t="s">
        <v>13</v>
      </c>
      <c r="Q12" s="91"/>
    </row>
    <row r="13" spans="1:17" s="31" customFormat="1" ht="45.95" customHeight="1">
      <c r="A13" s="74">
        <v>1</v>
      </c>
      <c r="B13" s="74">
        <v>2</v>
      </c>
      <c r="C13" s="74">
        <v>3</v>
      </c>
      <c r="D13" s="75">
        <v>4</v>
      </c>
      <c r="E13" s="76">
        <v>5</v>
      </c>
      <c r="F13" s="76">
        <v>6</v>
      </c>
      <c r="G13" s="76">
        <v>7</v>
      </c>
      <c r="H13" s="76">
        <v>8</v>
      </c>
      <c r="I13" s="76">
        <v>9</v>
      </c>
      <c r="J13" s="76">
        <v>10</v>
      </c>
      <c r="K13" s="78">
        <v>11</v>
      </c>
      <c r="L13" s="76">
        <v>12</v>
      </c>
      <c r="M13" s="76">
        <v>13</v>
      </c>
      <c r="N13" s="76">
        <v>14</v>
      </c>
      <c r="O13" s="76">
        <v>15</v>
      </c>
      <c r="P13" s="77"/>
      <c r="Q13" s="77">
        <v>16</v>
      </c>
    </row>
    <row r="14" spans="1:17" s="10" customFormat="1" ht="105.75" customHeight="1">
      <c r="A14" s="37" t="s">
        <v>14</v>
      </c>
      <c r="B14" s="37"/>
      <c r="C14" s="37"/>
      <c r="D14" s="38" t="s">
        <v>15</v>
      </c>
      <c r="E14" s="61">
        <f>E15</f>
        <v>98356756</v>
      </c>
      <c r="F14" s="61">
        <f t="shared" ref="F14:Q14" si="0">F15</f>
        <v>91261217</v>
      </c>
      <c r="G14" s="61">
        <f t="shared" si="0"/>
        <v>59761129</v>
      </c>
      <c r="H14" s="61">
        <f t="shared" si="0"/>
        <v>2237539</v>
      </c>
      <c r="I14" s="61">
        <f t="shared" si="0"/>
        <v>7095539</v>
      </c>
      <c r="J14" s="61">
        <f t="shared" si="0"/>
        <v>21708744.399999999</v>
      </c>
      <c r="K14" s="61">
        <f t="shared" si="0"/>
        <v>21686573.399999999</v>
      </c>
      <c r="L14" s="61">
        <f t="shared" si="0"/>
        <v>0</v>
      </c>
      <c r="M14" s="61">
        <f t="shared" si="0"/>
        <v>0</v>
      </c>
      <c r="N14" s="61">
        <f t="shared" si="0"/>
        <v>0</v>
      </c>
      <c r="O14" s="61">
        <f t="shared" si="0"/>
        <v>21708744.399999999</v>
      </c>
      <c r="P14" s="61">
        <f t="shared" si="0"/>
        <v>0</v>
      </c>
      <c r="Q14" s="61">
        <f t="shared" si="0"/>
        <v>120065500.40000001</v>
      </c>
    </row>
    <row r="15" spans="1:17" s="10" customFormat="1" ht="114" customHeight="1">
      <c r="A15" s="37" t="s">
        <v>16</v>
      </c>
      <c r="B15" s="37"/>
      <c r="C15" s="37"/>
      <c r="D15" s="38" t="s">
        <v>15</v>
      </c>
      <c r="E15" s="61">
        <f t="shared" ref="E15:P15" si="1">SUM(E16:E29)</f>
        <v>98356756</v>
      </c>
      <c r="F15" s="61">
        <f t="shared" si="1"/>
        <v>91261217</v>
      </c>
      <c r="G15" s="61">
        <f t="shared" si="1"/>
        <v>59761129</v>
      </c>
      <c r="H15" s="61">
        <f t="shared" si="1"/>
        <v>2237539</v>
      </c>
      <c r="I15" s="61">
        <f t="shared" si="1"/>
        <v>7095539</v>
      </c>
      <c r="J15" s="61">
        <f t="shared" si="1"/>
        <v>21708744.399999999</v>
      </c>
      <c r="K15" s="61">
        <f t="shared" si="1"/>
        <v>21686573.399999999</v>
      </c>
      <c r="L15" s="61">
        <f t="shared" si="1"/>
        <v>0</v>
      </c>
      <c r="M15" s="61">
        <f t="shared" si="1"/>
        <v>0</v>
      </c>
      <c r="N15" s="61">
        <f t="shared" si="1"/>
        <v>0</v>
      </c>
      <c r="O15" s="61">
        <f t="shared" si="1"/>
        <v>21708744.399999999</v>
      </c>
      <c r="P15" s="61">
        <f t="shared" si="1"/>
        <v>0</v>
      </c>
      <c r="Q15" s="61">
        <f t="shared" ref="Q15:Q60" si="2">+E15+J15</f>
        <v>120065500.40000001</v>
      </c>
    </row>
    <row r="16" spans="1:17" s="31" customFormat="1" ht="298.5" customHeight="1">
      <c r="A16" s="32" t="s">
        <v>52</v>
      </c>
      <c r="B16" s="32" t="s">
        <v>53</v>
      </c>
      <c r="C16" s="25" t="s">
        <v>54</v>
      </c>
      <c r="D16" s="33" t="s">
        <v>55</v>
      </c>
      <c r="E16" s="62">
        <f>F16+I16</f>
        <v>77888480</v>
      </c>
      <c r="F16" s="62">
        <v>77888480</v>
      </c>
      <c r="G16" s="62">
        <v>59149142</v>
      </c>
      <c r="H16" s="62">
        <v>2145666</v>
      </c>
      <c r="I16" s="62"/>
      <c r="J16" s="62">
        <f t="shared" ref="J16" si="3">L16+O16</f>
        <v>770000</v>
      </c>
      <c r="K16" s="62">
        <f>600000+170000</f>
        <v>770000</v>
      </c>
      <c r="L16" s="62"/>
      <c r="M16" s="62"/>
      <c r="N16" s="62"/>
      <c r="O16" s="62">
        <f>600000+170000</f>
        <v>770000</v>
      </c>
      <c r="P16" s="62"/>
      <c r="Q16" s="61">
        <f t="shared" si="2"/>
        <v>78658480</v>
      </c>
    </row>
    <row r="17" spans="1:17" s="31" customFormat="1" ht="228" customHeight="1">
      <c r="A17" s="32" t="s">
        <v>363</v>
      </c>
      <c r="B17" s="32" t="s">
        <v>114</v>
      </c>
      <c r="C17" s="25" t="s">
        <v>54</v>
      </c>
      <c r="D17" s="33" t="s">
        <v>305</v>
      </c>
      <c r="E17" s="62">
        <f>F17+I17</f>
        <v>500000</v>
      </c>
      <c r="F17" s="62">
        <v>500000</v>
      </c>
      <c r="G17" s="62"/>
      <c r="H17" s="62"/>
      <c r="I17" s="62"/>
      <c r="J17" s="62">
        <f>L17+O17</f>
        <v>0</v>
      </c>
      <c r="K17" s="62"/>
      <c r="L17" s="62"/>
      <c r="M17" s="62"/>
      <c r="N17" s="62"/>
      <c r="O17" s="62"/>
      <c r="P17" s="62"/>
      <c r="Q17" s="61">
        <f t="shared" si="2"/>
        <v>500000</v>
      </c>
    </row>
    <row r="18" spans="1:17" s="31" customFormat="1" ht="198" customHeight="1">
      <c r="A18" s="32" t="s">
        <v>56</v>
      </c>
      <c r="B18" s="32" t="s">
        <v>57</v>
      </c>
      <c r="C18" s="25" t="s">
        <v>58</v>
      </c>
      <c r="D18" s="33" t="s">
        <v>59</v>
      </c>
      <c r="E18" s="62">
        <f t="shared" ref="E18:E29" si="4">F18+I18</f>
        <v>237000</v>
      </c>
      <c r="F18" s="62">
        <f>190000+47000</f>
        <v>237000</v>
      </c>
      <c r="G18" s="62"/>
      <c r="H18" s="62"/>
      <c r="I18" s="62"/>
      <c r="J18" s="62">
        <f>L18+O18</f>
        <v>0</v>
      </c>
      <c r="K18" s="62"/>
      <c r="L18" s="62"/>
      <c r="M18" s="62"/>
      <c r="N18" s="62"/>
      <c r="O18" s="62"/>
      <c r="P18" s="62"/>
      <c r="Q18" s="61">
        <f t="shared" si="2"/>
        <v>237000</v>
      </c>
    </row>
    <row r="19" spans="1:17" s="31" customFormat="1" ht="111" customHeight="1">
      <c r="A19" s="32" t="s">
        <v>60</v>
      </c>
      <c r="B19" s="32" t="s">
        <v>61</v>
      </c>
      <c r="C19" s="25" t="s">
        <v>62</v>
      </c>
      <c r="D19" s="33" t="s">
        <v>63</v>
      </c>
      <c r="E19" s="62">
        <f t="shared" si="4"/>
        <v>1590934</v>
      </c>
      <c r="F19" s="62">
        <f>310000+201000+137000+942934</f>
        <v>1590934</v>
      </c>
      <c r="G19" s="62">
        <v>611987</v>
      </c>
      <c r="H19" s="62">
        <v>91873</v>
      </c>
      <c r="I19" s="62"/>
      <c r="J19" s="62">
        <f>L19+O19</f>
        <v>0</v>
      </c>
      <c r="K19" s="62"/>
      <c r="L19" s="62"/>
      <c r="M19" s="62"/>
      <c r="N19" s="62"/>
      <c r="O19" s="62"/>
      <c r="P19" s="62"/>
      <c r="Q19" s="61">
        <f t="shared" si="2"/>
        <v>1590934</v>
      </c>
    </row>
    <row r="20" spans="1:17" s="31" customFormat="1" ht="324" customHeight="1">
      <c r="A20" s="32" t="s">
        <v>324</v>
      </c>
      <c r="B20" s="32" t="s">
        <v>322</v>
      </c>
      <c r="C20" s="32" t="s">
        <v>73</v>
      </c>
      <c r="D20" s="33" t="s">
        <v>323</v>
      </c>
      <c r="E20" s="62">
        <f t="shared" si="4"/>
        <v>10000</v>
      </c>
      <c r="F20" s="62">
        <v>10000</v>
      </c>
      <c r="G20" s="62"/>
      <c r="H20" s="62"/>
      <c r="I20" s="62"/>
      <c r="J20" s="62">
        <f t="shared" ref="J20" si="5">L20+O20</f>
        <v>457000</v>
      </c>
      <c r="K20" s="62">
        <f>250000+207000</f>
        <v>457000</v>
      </c>
      <c r="L20" s="62"/>
      <c r="M20" s="62"/>
      <c r="N20" s="62"/>
      <c r="O20" s="62">
        <f>250000+207000</f>
        <v>457000</v>
      </c>
      <c r="P20" s="62"/>
      <c r="Q20" s="61">
        <f t="shared" si="2"/>
        <v>467000</v>
      </c>
    </row>
    <row r="21" spans="1:17" s="31" customFormat="1" ht="292.7" customHeight="1">
      <c r="A21" s="32" t="s">
        <v>71</v>
      </c>
      <c r="B21" s="32" t="s">
        <v>72</v>
      </c>
      <c r="C21" s="32" t="s">
        <v>73</v>
      </c>
      <c r="D21" s="33" t="s">
        <v>74</v>
      </c>
      <c r="E21" s="62">
        <f t="shared" si="4"/>
        <v>120000</v>
      </c>
      <c r="F21" s="62"/>
      <c r="G21" s="62"/>
      <c r="H21" s="62"/>
      <c r="I21" s="62">
        <v>120000</v>
      </c>
      <c r="J21" s="62">
        <f>L21+O21</f>
        <v>22171</v>
      </c>
      <c r="K21" s="62"/>
      <c r="L21" s="62"/>
      <c r="M21" s="62"/>
      <c r="N21" s="62"/>
      <c r="O21" s="62">
        <v>22171</v>
      </c>
      <c r="P21" s="62"/>
      <c r="Q21" s="61">
        <f>+E21+J21</f>
        <v>142171</v>
      </c>
    </row>
    <row r="22" spans="1:17" s="31" customFormat="1" ht="140.25" customHeight="1">
      <c r="A22" s="32" t="s">
        <v>75</v>
      </c>
      <c r="B22" s="32" t="s">
        <v>76</v>
      </c>
      <c r="C22" s="32" t="s">
        <v>77</v>
      </c>
      <c r="D22" s="33" t="s">
        <v>78</v>
      </c>
      <c r="E22" s="62">
        <f t="shared" si="4"/>
        <v>1799859</v>
      </c>
      <c r="F22" s="62"/>
      <c r="G22" s="62"/>
      <c r="H22" s="62"/>
      <c r="I22" s="62">
        <f>2395748-595889</f>
        <v>1799859</v>
      </c>
      <c r="J22" s="62">
        <v>2000004</v>
      </c>
      <c r="K22" s="62">
        <v>2000004</v>
      </c>
      <c r="L22" s="62"/>
      <c r="M22" s="62"/>
      <c r="N22" s="62"/>
      <c r="O22" s="62">
        <v>2000004</v>
      </c>
      <c r="P22" s="62"/>
      <c r="Q22" s="61">
        <f t="shared" si="2"/>
        <v>3799863</v>
      </c>
    </row>
    <row r="23" spans="1:17" s="31" customFormat="1" ht="175.7" customHeight="1">
      <c r="A23" s="32" t="s">
        <v>85</v>
      </c>
      <c r="B23" s="32" t="s">
        <v>86</v>
      </c>
      <c r="C23" s="32" t="s">
        <v>87</v>
      </c>
      <c r="D23" s="33" t="s">
        <v>88</v>
      </c>
      <c r="E23" s="62">
        <f t="shared" si="4"/>
        <v>990000</v>
      </c>
      <c r="F23" s="62">
        <v>990000</v>
      </c>
      <c r="G23" s="62"/>
      <c r="H23" s="62"/>
      <c r="I23" s="62"/>
      <c r="J23" s="62">
        <f t="shared" ref="J23:J26" si="6">+L23+O23</f>
        <v>0</v>
      </c>
      <c r="K23" s="62"/>
      <c r="L23" s="62"/>
      <c r="M23" s="62"/>
      <c r="N23" s="62"/>
      <c r="O23" s="62"/>
      <c r="P23" s="62"/>
      <c r="Q23" s="61">
        <f t="shared" si="2"/>
        <v>990000</v>
      </c>
    </row>
    <row r="24" spans="1:17" s="31" customFormat="1" ht="147" customHeight="1">
      <c r="A24" s="32" t="s">
        <v>89</v>
      </c>
      <c r="B24" s="32" t="s">
        <v>90</v>
      </c>
      <c r="C24" s="32" t="s">
        <v>91</v>
      </c>
      <c r="D24" s="33" t="s">
        <v>92</v>
      </c>
      <c r="E24" s="62">
        <f t="shared" si="4"/>
        <v>1026000</v>
      </c>
      <c r="F24" s="62">
        <v>1026000</v>
      </c>
      <c r="G24" s="62"/>
      <c r="H24" s="62"/>
      <c r="I24" s="62"/>
      <c r="J24" s="62">
        <f t="shared" si="6"/>
        <v>0</v>
      </c>
      <c r="K24" s="62"/>
      <c r="L24" s="62"/>
      <c r="M24" s="62"/>
      <c r="N24" s="62"/>
      <c r="O24" s="62"/>
      <c r="P24" s="62"/>
      <c r="Q24" s="61">
        <f t="shared" si="2"/>
        <v>1026000</v>
      </c>
    </row>
    <row r="25" spans="1:17" s="31" customFormat="1" ht="243.95" customHeight="1">
      <c r="A25" s="32" t="s">
        <v>93</v>
      </c>
      <c r="B25" s="32" t="s">
        <v>94</v>
      </c>
      <c r="C25" s="32" t="s">
        <v>95</v>
      </c>
      <c r="D25" s="33" t="s">
        <v>96</v>
      </c>
      <c r="E25" s="62">
        <f t="shared" si="4"/>
        <v>5324000</v>
      </c>
      <c r="F25" s="62">
        <v>324000</v>
      </c>
      <c r="G25" s="62"/>
      <c r="H25" s="62"/>
      <c r="I25" s="62">
        <v>5000000</v>
      </c>
      <c r="J25" s="62">
        <f t="shared" si="6"/>
        <v>0</v>
      </c>
      <c r="K25" s="62"/>
      <c r="L25" s="62"/>
      <c r="M25" s="62"/>
      <c r="N25" s="62"/>
      <c r="O25" s="62"/>
      <c r="P25" s="62"/>
      <c r="Q25" s="61">
        <f t="shared" si="2"/>
        <v>5324000</v>
      </c>
    </row>
    <row r="26" spans="1:17" s="31" customFormat="1" ht="243.95" customHeight="1">
      <c r="A26" s="32" t="s">
        <v>364</v>
      </c>
      <c r="B26" s="32" t="s">
        <v>365</v>
      </c>
      <c r="C26" s="32" t="s">
        <v>77</v>
      </c>
      <c r="D26" s="33" t="s">
        <v>366</v>
      </c>
      <c r="E26" s="62"/>
      <c r="F26" s="62"/>
      <c r="G26" s="62"/>
      <c r="H26" s="62"/>
      <c r="I26" s="62"/>
      <c r="J26" s="62">
        <f t="shared" si="6"/>
        <v>190000</v>
      </c>
      <c r="K26" s="62">
        <v>190000</v>
      </c>
      <c r="L26" s="62"/>
      <c r="M26" s="62"/>
      <c r="N26" s="62"/>
      <c r="O26" s="62">
        <v>190000</v>
      </c>
      <c r="P26" s="62"/>
      <c r="Q26" s="61">
        <f t="shared" si="2"/>
        <v>190000</v>
      </c>
    </row>
    <row r="27" spans="1:17" s="31" customFormat="1" ht="175.7" customHeight="1">
      <c r="A27" s="32" t="s">
        <v>97</v>
      </c>
      <c r="B27" s="32" t="s">
        <v>98</v>
      </c>
      <c r="C27" s="32" t="s">
        <v>77</v>
      </c>
      <c r="D27" s="33" t="s">
        <v>99</v>
      </c>
      <c r="E27" s="62">
        <f t="shared" si="4"/>
        <v>160162</v>
      </c>
      <c r="F27" s="62">
        <v>160162</v>
      </c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1">
        <f t="shared" si="2"/>
        <v>160162</v>
      </c>
    </row>
    <row r="28" spans="1:17" s="31" customFormat="1" ht="126" customHeight="1">
      <c r="A28" s="32" t="s">
        <v>100</v>
      </c>
      <c r="B28" s="32" t="s">
        <v>101</v>
      </c>
      <c r="C28" s="32" t="s">
        <v>77</v>
      </c>
      <c r="D28" s="33" t="s">
        <v>102</v>
      </c>
      <c r="E28" s="62">
        <f t="shared" si="4"/>
        <v>7150321</v>
      </c>
      <c r="F28" s="62">
        <f>51800+4200000+4200000-727100-750059</f>
        <v>6974641</v>
      </c>
      <c r="G28" s="62"/>
      <c r="H28" s="62"/>
      <c r="I28" s="62">
        <v>175680</v>
      </c>
      <c r="J28" s="62">
        <f>L28+O28</f>
        <v>18269569.399999999</v>
      </c>
      <c r="K28" s="62">
        <v>18269569.399999999</v>
      </c>
      <c r="L28" s="62"/>
      <c r="M28" s="62"/>
      <c r="N28" s="62"/>
      <c r="O28" s="62">
        <v>18269569.399999999</v>
      </c>
      <c r="P28" s="62"/>
      <c r="Q28" s="61">
        <f t="shared" si="2"/>
        <v>25419890.399999999</v>
      </c>
    </row>
    <row r="29" spans="1:17" s="31" customFormat="1" ht="88.5" customHeight="1">
      <c r="A29" s="32" t="s">
        <v>110</v>
      </c>
      <c r="B29" s="32" t="s">
        <v>111</v>
      </c>
      <c r="C29" s="32" t="s">
        <v>109</v>
      </c>
      <c r="D29" s="33" t="s">
        <v>112</v>
      </c>
      <c r="E29" s="62">
        <f t="shared" si="4"/>
        <v>1560000</v>
      </c>
      <c r="F29" s="62">
        <v>1560000</v>
      </c>
      <c r="G29" s="62"/>
      <c r="H29" s="62"/>
      <c r="I29" s="62"/>
      <c r="J29" s="62">
        <f>L29+O29</f>
        <v>0</v>
      </c>
      <c r="K29" s="62"/>
      <c r="L29" s="62"/>
      <c r="M29" s="62"/>
      <c r="N29" s="62"/>
      <c r="O29" s="62"/>
      <c r="P29" s="62"/>
      <c r="Q29" s="61">
        <f t="shared" si="2"/>
        <v>1560000</v>
      </c>
    </row>
    <row r="30" spans="1:17" s="10" customFormat="1" ht="171" customHeight="1">
      <c r="A30" s="37" t="s">
        <v>17</v>
      </c>
      <c r="B30" s="37"/>
      <c r="C30" s="37"/>
      <c r="D30" s="38" t="s">
        <v>48</v>
      </c>
      <c r="E30" s="61">
        <f>E31</f>
        <v>1256661998</v>
      </c>
      <c r="F30" s="61">
        <f t="shared" ref="F30:P30" si="7">F31</f>
        <v>1256661998</v>
      </c>
      <c r="G30" s="61">
        <f t="shared" si="7"/>
        <v>810465397</v>
      </c>
      <c r="H30" s="61">
        <f t="shared" si="7"/>
        <v>106430585</v>
      </c>
      <c r="I30" s="61">
        <f t="shared" si="7"/>
        <v>0</v>
      </c>
      <c r="J30" s="61">
        <f t="shared" si="7"/>
        <v>74470287</v>
      </c>
      <c r="K30" s="61">
        <f t="shared" si="7"/>
        <v>3433687</v>
      </c>
      <c r="L30" s="61">
        <f t="shared" si="7"/>
        <v>70812400</v>
      </c>
      <c r="M30" s="61">
        <f t="shared" si="7"/>
        <v>5048500</v>
      </c>
      <c r="N30" s="61">
        <f t="shared" si="7"/>
        <v>2552900</v>
      </c>
      <c r="O30" s="61">
        <f t="shared" si="7"/>
        <v>3657887</v>
      </c>
      <c r="P30" s="61">
        <f t="shared" si="7"/>
        <v>0</v>
      </c>
      <c r="Q30" s="61">
        <f t="shared" si="2"/>
        <v>1331132285</v>
      </c>
    </row>
    <row r="31" spans="1:17" s="10" customFormat="1" ht="112.7" customHeight="1">
      <c r="A31" s="37" t="s">
        <v>18</v>
      </c>
      <c r="B31" s="37"/>
      <c r="C31" s="37"/>
      <c r="D31" s="38" t="s">
        <v>48</v>
      </c>
      <c r="E31" s="61">
        <f t="shared" ref="E31:P31" si="8">SUM(E32:E41)</f>
        <v>1256661998</v>
      </c>
      <c r="F31" s="61">
        <f t="shared" si="8"/>
        <v>1256661998</v>
      </c>
      <c r="G31" s="61">
        <f t="shared" si="8"/>
        <v>810465397</v>
      </c>
      <c r="H31" s="61">
        <f t="shared" si="8"/>
        <v>106430585</v>
      </c>
      <c r="I31" s="61">
        <f t="shared" si="8"/>
        <v>0</v>
      </c>
      <c r="J31" s="61">
        <f>SUM(J32:J42)</f>
        <v>74470287</v>
      </c>
      <c r="K31" s="61">
        <f>SUM(K32:K42)</f>
        <v>3433687</v>
      </c>
      <c r="L31" s="61">
        <f t="shared" ref="L31:Q31" si="9">SUM(L32:L42)</f>
        <v>70812400</v>
      </c>
      <c r="M31" s="61">
        <f t="shared" si="9"/>
        <v>5048500</v>
      </c>
      <c r="N31" s="61">
        <f t="shared" si="9"/>
        <v>2552900</v>
      </c>
      <c r="O31" s="61">
        <f t="shared" si="9"/>
        <v>3657887</v>
      </c>
      <c r="P31" s="61">
        <f t="shared" si="8"/>
        <v>0</v>
      </c>
      <c r="Q31" s="61">
        <f t="shared" si="9"/>
        <v>1331132285</v>
      </c>
    </row>
    <row r="32" spans="1:17" s="31" customFormat="1" ht="225.95" customHeight="1">
      <c r="A32" s="32" t="s">
        <v>113</v>
      </c>
      <c r="B32" s="32" t="s">
        <v>114</v>
      </c>
      <c r="C32" s="32" t="s">
        <v>54</v>
      </c>
      <c r="D32" s="33" t="s">
        <v>305</v>
      </c>
      <c r="E32" s="62">
        <f t="shared" ref="E32:E41" si="10">F32+I32</f>
        <v>4234263</v>
      </c>
      <c r="F32" s="62">
        <v>4234263</v>
      </c>
      <c r="G32" s="62">
        <v>3237970</v>
      </c>
      <c r="H32" s="62">
        <v>127935</v>
      </c>
      <c r="I32" s="62"/>
      <c r="J32" s="62">
        <f t="shared" ref="J32:J39" si="11">L32+O32</f>
        <v>0</v>
      </c>
      <c r="K32" s="62"/>
      <c r="L32" s="62"/>
      <c r="M32" s="62"/>
      <c r="N32" s="62"/>
      <c r="O32" s="62"/>
      <c r="P32" s="62"/>
      <c r="Q32" s="61">
        <f t="shared" si="2"/>
        <v>4234263</v>
      </c>
    </row>
    <row r="33" spans="1:17" s="31" customFormat="1" ht="66.75" customHeight="1">
      <c r="A33" s="32" t="s">
        <v>115</v>
      </c>
      <c r="B33" s="32" t="s">
        <v>116</v>
      </c>
      <c r="C33" s="32" t="s">
        <v>117</v>
      </c>
      <c r="D33" s="33" t="s">
        <v>118</v>
      </c>
      <c r="E33" s="62">
        <f t="shared" si="10"/>
        <v>385738841</v>
      </c>
      <c r="F33" s="62">
        <f>385037464+474865+226512</f>
        <v>385738841</v>
      </c>
      <c r="G33" s="62">
        <v>233431625</v>
      </c>
      <c r="H33" s="62">
        <v>38463900</v>
      </c>
      <c r="I33" s="62"/>
      <c r="J33" s="62">
        <f t="shared" si="11"/>
        <v>34847038</v>
      </c>
      <c r="K33" s="62">
        <f>218687+300000+28000+43000</f>
        <v>589687</v>
      </c>
      <c r="L33" s="62">
        <v>34257351</v>
      </c>
      <c r="M33" s="62"/>
      <c r="N33" s="62"/>
      <c r="O33" s="62">
        <f>218687+300000+28000+43000</f>
        <v>589687</v>
      </c>
      <c r="P33" s="62"/>
      <c r="Q33" s="61">
        <f t="shared" si="2"/>
        <v>420585879</v>
      </c>
    </row>
    <row r="34" spans="1:17" s="31" customFormat="1" ht="270.95" customHeight="1">
      <c r="A34" s="32" t="s">
        <v>119</v>
      </c>
      <c r="B34" s="32" t="s">
        <v>120</v>
      </c>
      <c r="C34" s="32" t="s">
        <v>121</v>
      </c>
      <c r="D34" s="68" t="s">
        <v>398</v>
      </c>
      <c r="E34" s="62">
        <f t="shared" si="10"/>
        <v>688999894</v>
      </c>
      <c r="F34" s="62">
        <f>665994749+3984000+70000+391047+292250+163448+18089400+15000</f>
        <v>688999894</v>
      </c>
      <c r="G34" s="62">
        <f>447639272+1708600+320530+15074500</f>
        <v>464742902</v>
      </c>
      <c r="H34" s="62">
        <f>49376300+1486500</f>
        <v>50862800</v>
      </c>
      <c r="I34" s="62"/>
      <c r="J34" s="62">
        <f t="shared" si="11"/>
        <v>26308349</v>
      </c>
      <c r="K34" s="62">
        <f>1331000+313000</f>
        <v>1644000</v>
      </c>
      <c r="L34" s="62">
        <v>24664349</v>
      </c>
      <c r="M34" s="62">
        <v>1050000</v>
      </c>
      <c r="N34" s="62">
        <v>72000</v>
      </c>
      <c r="O34" s="62">
        <f>1331000+313000</f>
        <v>1644000</v>
      </c>
      <c r="P34" s="62"/>
      <c r="Q34" s="61">
        <f t="shared" si="2"/>
        <v>715308243</v>
      </c>
    </row>
    <row r="35" spans="1:17" s="31" customFormat="1" ht="186.75" customHeight="1">
      <c r="A35" s="32" t="s">
        <v>123</v>
      </c>
      <c r="B35" s="32" t="s">
        <v>124</v>
      </c>
      <c r="C35" s="32" t="s">
        <v>125</v>
      </c>
      <c r="D35" s="68" t="s">
        <v>399</v>
      </c>
      <c r="E35" s="62">
        <f t="shared" si="10"/>
        <v>29586700</v>
      </c>
      <c r="F35" s="62">
        <v>29586700</v>
      </c>
      <c r="G35" s="62">
        <v>19203700</v>
      </c>
      <c r="H35" s="62">
        <v>1805550</v>
      </c>
      <c r="I35" s="62"/>
      <c r="J35" s="62">
        <f t="shared" si="11"/>
        <v>0</v>
      </c>
      <c r="K35" s="62"/>
      <c r="L35" s="62"/>
      <c r="M35" s="62"/>
      <c r="N35" s="62"/>
      <c r="O35" s="62"/>
      <c r="P35" s="62"/>
      <c r="Q35" s="61">
        <f t="shared" si="2"/>
        <v>29586700</v>
      </c>
    </row>
    <row r="36" spans="1:17" s="31" customFormat="1" ht="219" customHeight="1">
      <c r="A36" s="32" t="s">
        <v>126</v>
      </c>
      <c r="B36" s="32" t="s">
        <v>127</v>
      </c>
      <c r="C36" s="32" t="s">
        <v>128</v>
      </c>
      <c r="D36" s="68" t="s">
        <v>425</v>
      </c>
      <c r="E36" s="62">
        <f t="shared" si="10"/>
        <v>111462400</v>
      </c>
      <c r="F36" s="62">
        <v>111462400</v>
      </c>
      <c r="G36" s="62">
        <v>65194300</v>
      </c>
      <c r="H36" s="62">
        <v>13939400</v>
      </c>
      <c r="I36" s="62"/>
      <c r="J36" s="62">
        <f t="shared" si="11"/>
        <v>12114900</v>
      </c>
      <c r="K36" s="62"/>
      <c r="L36" s="62">
        <v>11890700</v>
      </c>
      <c r="M36" s="62">
        <v>3998500</v>
      </c>
      <c r="N36" s="62">
        <v>2480900</v>
      </c>
      <c r="O36" s="62">
        <v>224200</v>
      </c>
      <c r="P36" s="62"/>
      <c r="Q36" s="61">
        <f t="shared" si="2"/>
        <v>123577300</v>
      </c>
    </row>
    <row r="37" spans="1:17" s="31" customFormat="1" ht="156.75" customHeight="1">
      <c r="A37" s="32" t="s">
        <v>129</v>
      </c>
      <c r="B37" s="32" t="s">
        <v>130</v>
      </c>
      <c r="C37" s="32" t="s">
        <v>131</v>
      </c>
      <c r="D37" s="68" t="s">
        <v>400</v>
      </c>
      <c r="E37" s="62">
        <f>F37+I37</f>
        <v>8169600</v>
      </c>
      <c r="F37" s="62">
        <v>8169600</v>
      </c>
      <c r="G37" s="62">
        <v>5254300</v>
      </c>
      <c r="H37" s="62">
        <v>40600</v>
      </c>
      <c r="I37" s="62"/>
      <c r="J37" s="62">
        <f t="shared" si="11"/>
        <v>0</v>
      </c>
      <c r="K37" s="62"/>
      <c r="L37" s="62"/>
      <c r="M37" s="62"/>
      <c r="N37" s="62"/>
      <c r="O37" s="62"/>
      <c r="P37" s="62"/>
      <c r="Q37" s="61">
        <f t="shared" si="2"/>
        <v>8169600</v>
      </c>
    </row>
    <row r="38" spans="1:17" s="31" customFormat="1" ht="135" customHeight="1">
      <c r="A38" s="32" t="s">
        <v>132</v>
      </c>
      <c r="B38" s="32" t="s">
        <v>133</v>
      </c>
      <c r="C38" s="32" t="s">
        <v>131</v>
      </c>
      <c r="D38" s="33" t="s">
        <v>134</v>
      </c>
      <c r="E38" s="62">
        <f>F38+I38</f>
        <v>11945800</v>
      </c>
      <c r="F38" s="62">
        <v>11945800</v>
      </c>
      <c r="G38" s="62">
        <v>9241800</v>
      </c>
      <c r="H38" s="62">
        <v>266500</v>
      </c>
      <c r="I38" s="62"/>
      <c r="J38" s="62"/>
      <c r="K38" s="62"/>
      <c r="L38" s="62"/>
      <c r="M38" s="62"/>
      <c r="N38" s="62"/>
      <c r="O38" s="62"/>
      <c r="P38" s="62"/>
      <c r="Q38" s="61">
        <f t="shared" si="2"/>
        <v>11945800</v>
      </c>
    </row>
    <row r="39" spans="1:17" s="31" customFormat="1" ht="71.25" customHeight="1">
      <c r="A39" s="32" t="s">
        <v>135</v>
      </c>
      <c r="B39" s="32" t="s">
        <v>136</v>
      </c>
      <c r="C39" s="32" t="s">
        <v>131</v>
      </c>
      <c r="D39" s="33" t="s">
        <v>137</v>
      </c>
      <c r="E39" s="62">
        <f>F39+I39</f>
        <v>72400</v>
      </c>
      <c r="F39" s="62">
        <v>72400</v>
      </c>
      <c r="G39" s="62"/>
      <c r="H39" s="62"/>
      <c r="I39" s="62"/>
      <c r="J39" s="62">
        <f t="shared" si="11"/>
        <v>0</v>
      </c>
      <c r="K39" s="62"/>
      <c r="L39" s="62"/>
      <c r="M39" s="62"/>
      <c r="N39" s="62"/>
      <c r="O39" s="62"/>
      <c r="P39" s="62"/>
      <c r="Q39" s="61">
        <f t="shared" si="2"/>
        <v>72400</v>
      </c>
    </row>
    <row r="40" spans="1:17" s="31" customFormat="1" ht="118.5" customHeight="1">
      <c r="A40" s="32" t="s">
        <v>371</v>
      </c>
      <c r="B40" s="32" t="s">
        <v>372</v>
      </c>
      <c r="C40" s="32" t="s">
        <v>131</v>
      </c>
      <c r="D40" s="33" t="s">
        <v>373</v>
      </c>
      <c r="E40" s="62">
        <f>F40+I40</f>
        <v>6848600</v>
      </c>
      <c r="F40" s="62">
        <v>6848600</v>
      </c>
      <c r="G40" s="62">
        <v>3790200</v>
      </c>
      <c r="H40" s="62">
        <v>197900</v>
      </c>
      <c r="I40" s="62"/>
      <c r="J40" s="62"/>
      <c r="K40" s="62"/>
      <c r="L40" s="62"/>
      <c r="M40" s="62"/>
      <c r="N40" s="62"/>
      <c r="O40" s="62"/>
      <c r="P40" s="62"/>
      <c r="Q40" s="61">
        <f t="shared" si="2"/>
        <v>6848600</v>
      </c>
    </row>
    <row r="41" spans="1:17" s="31" customFormat="1" ht="161.25" customHeight="1">
      <c r="A41" s="32" t="s">
        <v>138</v>
      </c>
      <c r="B41" s="32" t="s">
        <v>139</v>
      </c>
      <c r="C41" s="32" t="s">
        <v>140</v>
      </c>
      <c r="D41" s="33" t="s">
        <v>141</v>
      </c>
      <c r="E41" s="62">
        <f t="shared" si="10"/>
        <v>9603500</v>
      </c>
      <c r="F41" s="62">
        <v>9603500</v>
      </c>
      <c r="G41" s="62">
        <v>6368600</v>
      </c>
      <c r="H41" s="62">
        <v>726000</v>
      </c>
      <c r="I41" s="62"/>
      <c r="J41" s="62">
        <f>L41+O41</f>
        <v>0</v>
      </c>
      <c r="K41" s="62"/>
      <c r="L41" s="62"/>
      <c r="M41" s="62"/>
      <c r="N41" s="62"/>
      <c r="O41" s="62"/>
      <c r="P41" s="62"/>
      <c r="Q41" s="61">
        <f t="shared" si="2"/>
        <v>9603500</v>
      </c>
    </row>
    <row r="42" spans="1:17" s="31" customFormat="1" ht="161.25" customHeight="1">
      <c r="A42" s="32" t="s">
        <v>424</v>
      </c>
      <c r="B42" s="32" t="s">
        <v>418</v>
      </c>
      <c r="C42" s="32" t="s">
        <v>344</v>
      </c>
      <c r="D42" s="70" t="s">
        <v>419</v>
      </c>
      <c r="E42" s="62"/>
      <c r="F42" s="62"/>
      <c r="G42" s="62"/>
      <c r="H42" s="62"/>
      <c r="I42" s="62"/>
      <c r="J42" s="62">
        <f>+O42</f>
        <v>1200000</v>
      </c>
      <c r="K42" s="62">
        <v>1200000</v>
      </c>
      <c r="L42" s="62"/>
      <c r="M42" s="62"/>
      <c r="N42" s="62"/>
      <c r="O42" s="62">
        <v>1200000</v>
      </c>
      <c r="P42" s="62"/>
      <c r="Q42" s="61">
        <f t="shared" si="2"/>
        <v>1200000</v>
      </c>
    </row>
    <row r="43" spans="1:17" s="10" customFormat="1" ht="114.75" customHeight="1">
      <c r="A43" s="37" t="s">
        <v>19</v>
      </c>
      <c r="B43" s="37"/>
      <c r="C43" s="37"/>
      <c r="D43" s="38" t="s">
        <v>20</v>
      </c>
      <c r="E43" s="61">
        <f>E44</f>
        <v>144273919</v>
      </c>
      <c r="F43" s="61">
        <f t="shared" ref="F43:P43" si="12">F44</f>
        <v>142423919</v>
      </c>
      <c r="G43" s="61">
        <f t="shared" si="12"/>
        <v>1508199</v>
      </c>
      <c r="H43" s="61">
        <f t="shared" si="12"/>
        <v>0</v>
      </c>
      <c r="I43" s="61">
        <f t="shared" si="12"/>
        <v>1850000</v>
      </c>
      <c r="J43" s="61">
        <f t="shared" si="12"/>
        <v>13461500</v>
      </c>
      <c r="K43" s="61">
        <f t="shared" si="12"/>
        <v>13461500</v>
      </c>
      <c r="L43" s="61">
        <f t="shared" si="12"/>
        <v>0</v>
      </c>
      <c r="M43" s="61">
        <f t="shared" si="12"/>
        <v>0</v>
      </c>
      <c r="N43" s="61">
        <f t="shared" si="12"/>
        <v>0</v>
      </c>
      <c r="O43" s="61">
        <f t="shared" si="12"/>
        <v>13461500</v>
      </c>
      <c r="P43" s="61">
        <f t="shared" si="12"/>
        <v>0</v>
      </c>
      <c r="Q43" s="61">
        <f t="shared" si="2"/>
        <v>157735419</v>
      </c>
    </row>
    <row r="44" spans="1:17" s="10" customFormat="1" ht="190.5" customHeight="1">
      <c r="A44" s="37" t="s">
        <v>21</v>
      </c>
      <c r="B44" s="37"/>
      <c r="C44" s="37"/>
      <c r="D44" s="38" t="s">
        <v>20</v>
      </c>
      <c r="E44" s="61">
        <f t="shared" ref="E44:P44" si="13">SUM(E45:E54)</f>
        <v>144273919</v>
      </c>
      <c r="F44" s="61">
        <f t="shared" si="13"/>
        <v>142423919</v>
      </c>
      <c r="G44" s="61">
        <f t="shared" si="13"/>
        <v>1508199</v>
      </c>
      <c r="H44" s="61">
        <f t="shared" si="13"/>
        <v>0</v>
      </c>
      <c r="I44" s="61">
        <f t="shared" si="13"/>
        <v>1850000</v>
      </c>
      <c r="J44" s="61">
        <f t="shared" si="13"/>
        <v>13461500</v>
      </c>
      <c r="K44" s="61">
        <f t="shared" si="13"/>
        <v>13461500</v>
      </c>
      <c r="L44" s="61">
        <f t="shared" si="13"/>
        <v>0</v>
      </c>
      <c r="M44" s="61">
        <f t="shared" si="13"/>
        <v>0</v>
      </c>
      <c r="N44" s="63">
        <f t="shared" si="13"/>
        <v>0</v>
      </c>
      <c r="O44" s="61">
        <f t="shared" si="13"/>
        <v>13461500</v>
      </c>
      <c r="P44" s="61">
        <f t="shared" si="13"/>
        <v>0</v>
      </c>
      <c r="Q44" s="61">
        <f t="shared" si="2"/>
        <v>157735419</v>
      </c>
    </row>
    <row r="45" spans="1:17" s="31" customFormat="1" ht="224.25" customHeight="1">
      <c r="A45" s="32" t="s">
        <v>144</v>
      </c>
      <c r="B45" s="32" t="s">
        <v>114</v>
      </c>
      <c r="C45" s="32" t="s">
        <v>54</v>
      </c>
      <c r="D45" s="33" t="s">
        <v>305</v>
      </c>
      <c r="E45" s="62">
        <f>F45+I45</f>
        <v>1927819</v>
      </c>
      <c r="F45" s="62">
        <v>1927819</v>
      </c>
      <c r="G45" s="62">
        <v>1508199</v>
      </c>
      <c r="H45" s="62"/>
      <c r="I45" s="62"/>
      <c r="J45" s="62">
        <f>L45+O45</f>
        <v>0</v>
      </c>
      <c r="K45" s="62" t="s">
        <v>340</v>
      </c>
      <c r="L45" s="62"/>
      <c r="M45" s="62"/>
      <c r="N45" s="62"/>
      <c r="O45" s="62"/>
      <c r="P45" s="62"/>
      <c r="Q45" s="61">
        <f t="shared" si="2"/>
        <v>1927819</v>
      </c>
    </row>
    <row r="46" spans="1:17" s="31" customFormat="1" ht="152.25" customHeight="1">
      <c r="A46" s="32" t="s">
        <v>145</v>
      </c>
      <c r="B46" s="32" t="s">
        <v>146</v>
      </c>
      <c r="C46" s="32" t="s">
        <v>147</v>
      </c>
      <c r="D46" s="33" t="s">
        <v>148</v>
      </c>
      <c r="E46" s="62">
        <f t="shared" ref="E46:E54" si="14">F46+I46</f>
        <v>77526600</v>
      </c>
      <c r="F46" s="62">
        <f>76965000+556600+5000</f>
        <v>77526600</v>
      </c>
      <c r="G46" s="62"/>
      <c r="H46" s="62"/>
      <c r="I46" s="62"/>
      <c r="J46" s="62">
        <f>L46+O46</f>
        <v>13461500</v>
      </c>
      <c r="K46" s="62">
        <v>13461500</v>
      </c>
      <c r="L46" s="62"/>
      <c r="M46" s="62"/>
      <c r="N46" s="62"/>
      <c r="O46" s="62">
        <v>13461500</v>
      </c>
      <c r="P46" s="62"/>
      <c r="Q46" s="61">
        <f t="shared" si="2"/>
        <v>90988100</v>
      </c>
    </row>
    <row r="47" spans="1:17" s="31" customFormat="1" ht="156" customHeight="1">
      <c r="A47" s="32" t="s">
        <v>327</v>
      </c>
      <c r="B47" s="32" t="s">
        <v>308</v>
      </c>
      <c r="C47" s="32" t="s">
        <v>307</v>
      </c>
      <c r="D47" s="33" t="s">
        <v>309</v>
      </c>
      <c r="E47" s="62">
        <f t="shared" si="14"/>
        <v>24644600</v>
      </c>
      <c r="F47" s="62">
        <v>24644600</v>
      </c>
      <c r="G47" s="62"/>
      <c r="H47" s="62"/>
      <c r="I47" s="62"/>
      <c r="J47" s="62">
        <f>L47+O47</f>
        <v>0</v>
      </c>
      <c r="K47" s="62"/>
      <c r="L47" s="62"/>
      <c r="M47" s="62"/>
      <c r="N47" s="62"/>
      <c r="O47" s="62"/>
      <c r="P47" s="62"/>
      <c r="Q47" s="61">
        <f t="shared" si="2"/>
        <v>24644600</v>
      </c>
    </row>
    <row r="48" spans="1:17" s="31" customFormat="1" ht="105.75" customHeight="1">
      <c r="A48" s="32" t="s">
        <v>149</v>
      </c>
      <c r="B48" s="32" t="s">
        <v>150</v>
      </c>
      <c r="C48" s="32" t="s">
        <v>151</v>
      </c>
      <c r="D48" s="33" t="s">
        <v>152</v>
      </c>
      <c r="E48" s="62">
        <f t="shared" si="14"/>
        <v>6092100</v>
      </c>
      <c r="F48" s="62">
        <f>6042100+50000</f>
        <v>6092100</v>
      </c>
      <c r="G48" s="62"/>
      <c r="H48" s="62"/>
      <c r="I48" s="62"/>
      <c r="J48" s="62">
        <f t="shared" ref="J48:J68" si="15">L48+O48</f>
        <v>0</v>
      </c>
      <c r="K48" s="62"/>
      <c r="L48" s="62"/>
      <c r="M48" s="62"/>
      <c r="N48" s="62"/>
      <c r="O48" s="62"/>
      <c r="P48" s="62"/>
      <c r="Q48" s="61">
        <f t="shared" si="2"/>
        <v>6092100</v>
      </c>
    </row>
    <row r="49" spans="1:17" s="31" customFormat="1" ht="215.25" customHeight="1">
      <c r="A49" s="32" t="s">
        <v>153</v>
      </c>
      <c r="B49" s="32" t="s">
        <v>154</v>
      </c>
      <c r="C49" s="32" t="s">
        <v>155</v>
      </c>
      <c r="D49" s="33" t="s">
        <v>339</v>
      </c>
      <c r="E49" s="62">
        <f t="shared" si="14"/>
        <v>2018400</v>
      </c>
      <c r="F49" s="62">
        <f>2018400</f>
        <v>2018400</v>
      </c>
      <c r="G49" s="62"/>
      <c r="H49" s="62"/>
      <c r="I49" s="62"/>
      <c r="J49" s="62">
        <f t="shared" si="15"/>
        <v>0</v>
      </c>
      <c r="K49" s="62"/>
      <c r="L49" s="62"/>
      <c r="M49" s="62"/>
      <c r="N49" s="62"/>
      <c r="O49" s="62"/>
      <c r="P49" s="62"/>
      <c r="Q49" s="61">
        <f t="shared" si="2"/>
        <v>2018400</v>
      </c>
    </row>
    <row r="50" spans="1:17" s="31" customFormat="1" ht="146.25" customHeight="1">
      <c r="A50" s="32" t="s">
        <v>156</v>
      </c>
      <c r="B50" s="32" t="s">
        <v>157</v>
      </c>
      <c r="C50" s="32" t="s">
        <v>158</v>
      </c>
      <c r="D50" s="33" t="s">
        <v>159</v>
      </c>
      <c r="E50" s="62">
        <f t="shared" si="14"/>
        <v>991200</v>
      </c>
      <c r="F50" s="62">
        <v>991200</v>
      </c>
      <c r="G50" s="62"/>
      <c r="H50" s="62"/>
      <c r="I50" s="62"/>
      <c r="J50" s="62">
        <f t="shared" si="15"/>
        <v>0</v>
      </c>
      <c r="K50" s="62"/>
      <c r="L50" s="62"/>
      <c r="M50" s="62"/>
      <c r="N50" s="62"/>
      <c r="O50" s="62"/>
      <c r="P50" s="62"/>
      <c r="Q50" s="61">
        <f t="shared" si="2"/>
        <v>991200</v>
      </c>
    </row>
    <row r="51" spans="1:17" s="31" customFormat="1" ht="135" customHeight="1">
      <c r="A51" s="46" t="s">
        <v>329</v>
      </c>
      <c r="B51" s="46" t="s">
        <v>330</v>
      </c>
      <c r="C51" s="32" t="s">
        <v>160</v>
      </c>
      <c r="D51" s="47" t="s">
        <v>331</v>
      </c>
      <c r="E51" s="62">
        <f t="shared" si="14"/>
        <v>3045400</v>
      </c>
      <c r="F51" s="62">
        <f>2045400+1000000</f>
        <v>3045400</v>
      </c>
      <c r="G51" s="62"/>
      <c r="H51" s="62"/>
      <c r="I51" s="62"/>
      <c r="J51" s="62">
        <f>L51+O51</f>
        <v>0</v>
      </c>
      <c r="K51" s="62"/>
      <c r="L51" s="62"/>
      <c r="M51" s="62"/>
      <c r="N51" s="62"/>
      <c r="O51" s="62"/>
      <c r="P51" s="62"/>
      <c r="Q51" s="61">
        <f t="shared" si="2"/>
        <v>3045400</v>
      </c>
    </row>
    <row r="52" spans="1:17" s="31" customFormat="1" ht="120.75" customHeight="1">
      <c r="A52" s="32" t="s">
        <v>161</v>
      </c>
      <c r="B52" s="32" t="s">
        <v>162</v>
      </c>
      <c r="C52" s="32" t="s">
        <v>160</v>
      </c>
      <c r="D52" s="33" t="s">
        <v>349</v>
      </c>
      <c r="E52" s="62">
        <f t="shared" si="14"/>
        <v>25824700</v>
      </c>
      <c r="F52" s="62">
        <v>25824700</v>
      </c>
      <c r="G52" s="62"/>
      <c r="H52" s="62"/>
      <c r="I52" s="62"/>
      <c r="J52" s="62">
        <f>L52+O52</f>
        <v>0</v>
      </c>
      <c r="K52" s="62"/>
      <c r="L52" s="62"/>
      <c r="M52" s="62"/>
      <c r="N52" s="62"/>
      <c r="O52" s="62"/>
      <c r="P52" s="62"/>
      <c r="Q52" s="61">
        <f t="shared" si="2"/>
        <v>25824700</v>
      </c>
    </row>
    <row r="53" spans="1:17" s="31" customFormat="1" ht="128.25" customHeight="1">
      <c r="A53" s="32" t="s">
        <v>163</v>
      </c>
      <c r="B53" s="32" t="s">
        <v>164</v>
      </c>
      <c r="C53" s="32" t="s">
        <v>165</v>
      </c>
      <c r="D53" s="26" t="s">
        <v>166</v>
      </c>
      <c r="E53" s="62">
        <f t="shared" si="14"/>
        <v>1850000</v>
      </c>
      <c r="F53" s="62">
        <v>0</v>
      </c>
      <c r="G53" s="62"/>
      <c r="H53" s="62"/>
      <c r="I53" s="62">
        <v>1850000</v>
      </c>
      <c r="J53" s="62">
        <f t="shared" si="15"/>
        <v>0</v>
      </c>
      <c r="K53" s="62"/>
      <c r="L53" s="62"/>
      <c r="M53" s="62"/>
      <c r="N53" s="62"/>
      <c r="O53" s="62"/>
      <c r="P53" s="62"/>
      <c r="Q53" s="61">
        <f t="shared" si="2"/>
        <v>1850000</v>
      </c>
    </row>
    <row r="54" spans="1:17" s="31" customFormat="1" ht="89.25" customHeight="1">
      <c r="A54" s="32" t="s">
        <v>332</v>
      </c>
      <c r="B54" s="32" t="s">
        <v>142</v>
      </c>
      <c r="C54" s="32" t="s">
        <v>61</v>
      </c>
      <c r="D54" s="26" t="s">
        <v>143</v>
      </c>
      <c r="E54" s="62">
        <f t="shared" si="14"/>
        <v>353100</v>
      </c>
      <c r="F54" s="62">
        <v>353100</v>
      </c>
      <c r="G54" s="62"/>
      <c r="H54" s="62"/>
      <c r="I54" s="62"/>
      <c r="J54" s="62">
        <f t="shared" si="15"/>
        <v>0</v>
      </c>
      <c r="K54" s="62"/>
      <c r="L54" s="62"/>
      <c r="M54" s="62"/>
      <c r="N54" s="62"/>
      <c r="O54" s="62"/>
      <c r="P54" s="62"/>
      <c r="Q54" s="61">
        <f t="shared" si="2"/>
        <v>353100</v>
      </c>
    </row>
    <row r="55" spans="1:17" s="10" customFormat="1" ht="171.95" customHeight="1">
      <c r="A55" s="37" t="s">
        <v>22</v>
      </c>
      <c r="B55" s="37"/>
      <c r="C55" s="37"/>
      <c r="D55" s="38" t="s">
        <v>23</v>
      </c>
      <c r="E55" s="61">
        <f>E56</f>
        <v>84874999</v>
      </c>
      <c r="F55" s="61">
        <f t="shared" ref="F55:P55" si="16">F56</f>
        <v>84874999</v>
      </c>
      <c r="G55" s="61">
        <f t="shared" si="16"/>
        <v>49417612</v>
      </c>
      <c r="H55" s="61">
        <f t="shared" si="16"/>
        <v>1088748</v>
      </c>
      <c r="I55" s="61">
        <f t="shared" si="16"/>
        <v>0</v>
      </c>
      <c r="J55" s="61">
        <f t="shared" si="16"/>
        <v>50800</v>
      </c>
      <c r="K55" s="61">
        <f t="shared" si="16"/>
        <v>22000</v>
      </c>
      <c r="L55" s="61">
        <f t="shared" si="16"/>
        <v>28800</v>
      </c>
      <c r="M55" s="61">
        <f t="shared" si="16"/>
        <v>0</v>
      </c>
      <c r="N55" s="61">
        <f t="shared" si="16"/>
        <v>0</v>
      </c>
      <c r="O55" s="61">
        <f t="shared" si="16"/>
        <v>22000</v>
      </c>
      <c r="P55" s="61">
        <f t="shared" si="16"/>
        <v>0</v>
      </c>
      <c r="Q55" s="61">
        <f t="shared" si="2"/>
        <v>84925799</v>
      </c>
    </row>
    <row r="56" spans="1:17" s="10" customFormat="1" ht="146.25" customHeight="1">
      <c r="A56" s="37" t="s">
        <v>24</v>
      </c>
      <c r="B56" s="37"/>
      <c r="C56" s="37"/>
      <c r="D56" s="38" t="s">
        <v>23</v>
      </c>
      <c r="E56" s="61">
        <f>SUM(E57:E70)</f>
        <v>84874999</v>
      </c>
      <c r="F56" s="61">
        <f>SUM(F57:F70)</f>
        <v>84874999</v>
      </c>
      <c r="G56" s="61">
        <f t="shared" ref="G56:P56" si="17">SUM(G57:G70)</f>
        <v>49417612</v>
      </c>
      <c r="H56" s="61">
        <f t="shared" si="17"/>
        <v>1088748</v>
      </c>
      <c r="I56" s="61">
        <f t="shared" si="17"/>
        <v>0</v>
      </c>
      <c r="J56" s="61">
        <f t="shared" si="17"/>
        <v>50800</v>
      </c>
      <c r="K56" s="61">
        <f>SUM(K57:K70)</f>
        <v>22000</v>
      </c>
      <c r="L56" s="61">
        <f t="shared" si="17"/>
        <v>28800</v>
      </c>
      <c r="M56" s="61">
        <f t="shared" si="17"/>
        <v>0</v>
      </c>
      <c r="N56" s="61">
        <f t="shared" si="17"/>
        <v>0</v>
      </c>
      <c r="O56" s="61">
        <f t="shared" si="17"/>
        <v>22000</v>
      </c>
      <c r="P56" s="61">
        <f t="shared" si="17"/>
        <v>0</v>
      </c>
      <c r="Q56" s="61">
        <f t="shared" si="2"/>
        <v>84925799</v>
      </c>
    </row>
    <row r="57" spans="1:17" s="10" customFormat="1" ht="230.25" customHeight="1">
      <c r="A57" s="32" t="s">
        <v>167</v>
      </c>
      <c r="B57" s="32" t="s">
        <v>114</v>
      </c>
      <c r="C57" s="32" t="s">
        <v>54</v>
      </c>
      <c r="D57" s="33" t="s">
        <v>305</v>
      </c>
      <c r="E57" s="62">
        <f>F57+I57</f>
        <v>38917031</v>
      </c>
      <c r="F57" s="62">
        <v>38917031</v>
      </c>
      <c r="G57" s="62">
        <v>30821520</v>
      </c>
      <c r="H57" s="62">
        <v>526675</v>
      </c>
      <c r="I57" s="61"/>
      <c r="J57" s="61"/>
      <c r="K57" s="61"/>
      <c r="L57" s="61"/>
      <c r="M57" s="61"/>
      <c r="N57" s="61"/>
      <c r="O57" s="61"/>
      <c r="P57" s="61"/>
      <c r="Q57" s="61">
        <f t="shared" si="2"/>
        <v>38917031</v>
      </c>
    </row>
    <row r="58" spans="1:17" s="10" customFormat="1" ht="146.25" customHeight="1">
      <c r="A58" s="32" t="s">
        <v>169</v>
      </c>
      <c r="B58" s="32" t="s">
        <v>61</v>
      </c>
      <c r="C58" s="32" t="s">
        <v>62</v>
      </c>
      <c r="D58" s="33" t="s">
        <v>63</v>
      </c>
      <c r="E58" s="62">
        <f>F58+I58</f>
        <v>50000</v>
      </c>
      <c r="F58" s="62">
        <v>50000</v>
      </c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>
        <f t="shared" si="2"/>
        <v>50000</v>
      </c>
    </row>
    <row r="59" spans="1:17" s="10" customFormat="1" ht="146.25" customHeight="1">
      <c r="A59" s="32" t="s">
        <v>170</v>
      </c>
      <c r="B59" s="32" t="s">
        <v>171</v>
      </c>
      <c r="C59" s="32" t="s">
        <v>122</v>
      </c>
      <c r="D59" s="33" t="s">
        <v>172</v>
      </c>
      <c r="E59" s="62">
        <f t="shared" ref="E59:E60" si="18">F59+I59</f>
        <v>339000</v>
      </c>
      <c r="F59" s="62">
        <v>339000</v>
      </c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>
        <f t="shared" si="2"/>
        <v>339000</v>
      </c>
    </row>
    <row r="60" spans="1:17" s="10" customFormat="1" ht="146.25" customHeight="1">
      <c r="A60" s="32" t="s">
        <v>336</v>
      </c>
      <c r="B60" s="32" t="s">
        <v>173</v>
      </c>
      <c r="C60" s="32" t="s">
        <v>65</v>
      </c>
      <c r="D60" s="33" t="s">
        <v>174</v>
      </c>
      <c r="E60" s="62">
        <f t="shared" si="18"/>
        <v>4919</v>
      </c>
      <c r="F60" s="62">
        <v>4919</v>
      </c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>
        <f t="shared" si="2"/>
        <v>4919</v>
      </c>
    </row>
    <row r="61" spans="1:17" s="10" customFormat="1" ht="178.5" customHeight="1">
      <c r="A61" s="32" t="s">
        <v>175</v>
      </c>
      <c r="B61" s="32" t="s">
        <v>176</v>
      </c>
      <c r="C61" s="32" t="s">
        <v>65</v>
      </c>
      <c r="D61" s="33" t="s">
        <v>177</v>
      </c>
      <c r="E61" s="62">
        <f>F61+I61</f>
        <v>2502695</v>
      </c>
      <c r="F61" s="62">
        <v>2502695</v>
      </c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>
        <f t="shared" ref="Q61:Q110" si="19">+E61+J61</f>
        <v>2502695</v>
      </c>
    </row>
    <row r="62" spans="1:17" s="31" customFormat="1" ht="177" customHeight="1">
      <c r="A62" s="32" t="s">
        <v>333</v>
      </c>
      <c r="B62" s="32" t="s">
        <v>334</v>
      </c>
      <c r="C62" s="32" t="s">
        <v>65</v>
      </c>
      <c r="D62" s="48" t="s">
        <v>335</v>
      </c>
      <c r="E62" s="62">
        <f t="shared" ref="E62" si="20">F62+I62</f>
        <v>458100</v>
      </c>
      <c r="F62" s="62">
        <v>458100</v>
      </c>
      <c r="G62" s="62"/>
      <c r="H62" s="62"/>
      <c r="I62" s="62"/>
      <c r="J62" s="62">
        <f>L62+O62</f>
        <v>0</v>
      </c>
      <c r="K62" s="62"/>
      <c r="L62" s="62"/>
      <c r="M62" s="62"/>
      <c r="N62" s="62"/>
      <c r="O62" s="62"/>
      <c r="P62" s="62"/>
      <c r="Q62" s="61">
        <f t="shared" si="19"/>
        <v>458100</v>
      </c>
    </row>
    <row r="63" spans="1:17" s="27" customFormat="1" ht="300.75" customHeight="1">
      <c r="A63" s="32" t="s">
        <v>179</v>
      </c>
      <c r="B63" s="32" t="s">
        <v>180</v>
      </c>
      <c r="C63" s="32" t="s">
        <v>120</v>
      </c>
      <c r="D63" s="33" t="s">
        <v>181</v>
      </c>
      <c r="E63" s="62">
        <f t="shared" ref="E63:E68" si="21">F63+I63</f>
        <v>20987460</v>
      </c>
      <c r="F63" s="62">
        <v>20987460</v>
      </c>
      <c r="G63" s="62">
        <v>14958700</v>
      </c>
      <c r="H63" s="62">
        <v>452640</v>
      </c>
      <c r="I63" s="62"/>
      <c r="J63" s="62">
        <f t="shared" si="15"/>
        <v>28800</v>
      </c>
      <c r="K63" s="62"/>
      <c r="L63" s="62">
        <v>28800</v>
      </c>
      <c r="M63" s="62"/>
      <c r="N63" s="62"/>
      <c r="O63" s="62"/>
      <c r="P63" s="62"/>
      <c r="Q63" s="61">
        <f t="shared" si="19"/>
        <v>21016260</v>
      </c>
    </row>
    <row r="64" spans="1:17" s="27" customFormat="1" ht="159.75" customHeight="1">
      <c r="A64" s="32" t="s">
        <v>182</v>
      </c>
      <c r="B64" s="32" t="s">
        <v>183</v>
      </c>
      <c r="C64" s="32" t="s">
        <v>116</v>
      </c>
      <c r="D64" s="33" t="s">
        <v>184</v>
      </c>
      <c r="E64" s="62">
        <f t="shared" si="21"/>
        <v>4624419</v>
      </c>
      <c r="F64" s="62">
        <f>4674419-50000</f>
        <v>4624419</v>
      </c>
      <c r="G64" s="62">
        <v>3410677</v>
      </c>
      <c r="H64" s="62">
        <v>109433</v>
      </c>
      <c r="I64" s="62"/>
      <c r="J64" s="62">
        <f t="shared" si="15"/>
        <v>22000</v>
      </c>
      <c r="K64" s="62">
        <v>22000</v>
      </c>
      <c r="L64" s="62"/>
      <c r="M64" s="62"/>
      <c r="N64" s="62"/>
      <c r="O64" s="62">
        <v>22000</v>
      </c>
      <c r="P64" s="62"/>
      <c r="Q64" s="61">
        <f t="shared" si="19"/>
        <v>4646419</v>
      </c>
    </row>
    <row r="65" spans="1:17" s="27" customFormat="1" ht="279">
      <c r="A65" s="32" t="s">
        <v>185</v>
      </c>
      <c r="B65" s="32" t="s">
        <v>186</v>
      </c>
      <c r="C65" s="32" t="s">
        <v>116</v>
      </c>
      <c r="D65" s="33" t="s">
        <v>381</v>
      </c>
      <c r="E65" s="62">
        <f t="shared" si="21"/>
        <v>1565250</v>
      </c>
      <c r="F65" s="62">
        <v>1565250</v>
      </c>
      <c r="G65" s="62"/>
      <c r="H65" s="62"/>
      <c r="I65" s="62"/>
      <c r="J65" s="62">
        <f t="shared" si="15"/>
        <v>0</v>
      </c>
      <c r="K65" s="62"/>
      <c r="L65" s="62"/>
      <c r="M65" s="62"/>
      <c r="N65" s="62"/>
      <c r="O65" s="62"/>
      <c r="P65" s="62"/>
      <c r="Q65" s="61">
        <f t="shared" si="19"/>
        <v>1565250</v>
      </c>
    </row>
    <row r="66" spans="1:17" s="27" customFormat="1" ht="302.25">
      <c r="A66" s="32" t="s">
        <v>187</v>
      </c>
      <c r="B66" s="32" t="s">
        <v>188</v>
      </c>
      <c r="C66" s="32" t="s">
        <v>168</v>
      </c>
      <c r="D66" s="33" t="s">
        <v>189</v>
      </c>
      <c r="E66" s="62">
        <f t="shared" si="21"/>
        <v>963300</v>
      </c>
      <c r="F66" s="62">
        <v>963300</v>
      </c>
      <c r="G66" s="62"/>
      <c r="H66" s="62"/>
      <c r="I66" s="62"/>
      <c r="J66" s="62">
        <f t="shared" si="15"/>
        <v>0</v>
      </c>
      <c r="K66" s="62"/>
      <c r="L66" s="62"/>
      <c r="M66" s="62"/>
      <c r="N66" s="62"/>
      <c r="O66" s="62"/>
      <c r="P66" s="62"/>
      <c r="Q66" s="61">
        <f t="shared" si="19"/>
        <v>963300</v>
      </c>
    </row>
    <row r="67" spans="1:17" s="27" customFormat="1" ht="228" customHeight="1">
      <c r="A67" s="32" t="s">
        <v>190</v>
      </c>
      <c r="B67" s="32" t="s">
        <v>191</v>
      </c>
      <c r="C67" s="32" t="s">
        <v>122</v>
      </c>
      <c r="D67" s="33" t="s">
        <v>192</v>
      </c>
      <c r="E67" s="62">
        <f t="shared" si="21"/>
        <v>273500</v>
      </c>
      <c r="F67" s="62">
        <v>273500</v>
      </c>
      <c r="G67" s="62"/>
      <c r="H67" s="62"/>
      <c r="I67" s="62"/>
      <c r="J67" s="62">
        <f t="shared" si="15"/>
        <v>0</v>
      </c>
      <c r="K67" s="62"/>
      <c r="L67" s="62"/>
      <c r="M67" s="62"/>
      <c r="N67" s="62"/>
      <c r="O67" s="62"/>
      <c r="P67" s="62"/>
      <c r="Q67" s="61">
        <f t="shared" si="19"/>
        <v>273500</v>
      </c>
    </row>
    <row r="68" spans="1:17" s="27" customFormat="1" ht="211.7" customHeight="1">
      <c r="A68" s="32" t="s">
        <v>193</v>
      </c>
      <c r="B68" s="32" t="s">
        <v>194</v>
      </c>
      <c r="C68" s="32" t="s">
        <v>195</v>
      </c>
      <c r="D68" s="33" t="s">
        <v>196</v>
      </c>
      <c r="E68" s="62">
        <f t="shared" si="21"/>
        <v>416101</v>
      </c>
      <c r="F68" s="62">
        <v>416101</v>
      </c>
      <c r="G68" s="62">
        <v>226715</v>
      </c>
      <c r="H68" s="62"/>
      <c r="I68" s="62"/>
      <c r="J68" s="62">
        <f t="shared" si="15"/>
        <v>0</v>
      </c>
      <c r="K68" s="62"/>
      <c r="L68" s="62"/>
      <c r="M68" s="62"/>
      <c r="N68" s="62"/>
      <c r="O68" s="62"/>
      <c r="P68" s="62"/>
      <c r="Q68" s="61">
        <f t="shared" si="19"/>
        <v>416101</v>
      </c>
    </row>
    <row r="69" spans="1:17" s="31" customFormat="1" ht="129" customHeight="1">
      <c r="A69" s="32" t="s">
        <v>197</v>
      </c>
      <c r="B69" s="32" t="s">
        <v>198</v>
      </c>
      <c r="C69" s="32" t="s">
        <v>124</v>
      </c>
      <c r="D69" s="33" t="s">
        <v>199</v>
      </c>
      <c r="E69" s="62">
        <f>F69+I69</f>
        <v>13733464</v>
      </c>
      <c r="F69" s="62">
        <f>12249664+202000+642100+639700</f>
        <v>13733464</v>
      </c>
      <c r="G69" s="62"/>
      <c r="H69" s="62"/>
      <c r="I69" s="62"/>
      <c r="J69" s="62">
        <f>L69+O69</f>
        <v>0</v>
      </c>
      <c r="K69" s="62"/>
      <c r="L69" s="62"/>
      <c r="M69" s="62"/>
      <c r="N69" s="62"/>
      <c r="O69" s="62"/>
      <c r="P69" s="62"/>
      <c r="Q69" s="61">
        <f t="shared" si="19"/>
        <v>13733464</v>
      </c>
    </row>
    <row r="70" spans="1:17" s="31" customFormat="1" ht="83.25" customHeight="1">
      <c r="A70" s="32" t="s">
        <v>337</v>
      </c>
      <c r="B70" s="32" t="s">
        <v>142</v>
      </c>
      <c r="C70" s="32" t="s">
        <v>61</v>
      </c>
      <c r="D70" s="26" t="s">
        <v>143</v>
      </c>
      <c r="E70" s="62">
        <f>F70+I70</f>
        <v>39760</v>
      </c>
      <c r="F70" s="62">
        <v>39760</v>
      </c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1">
        <f t="shared" si="19"/>
        <v>39760</v>
      </c>
    </row>
    <row r="71" spans="1:17" s="10" customFormat="1" ht="131.25" customHeight="1">
      <c r="A71" s="37" t="s">
        <v>25</v>
      </c>
      <c r="B71" s="37"/>
      <c r="C71" s="37"/>
      <c r="D71" s="38" t="s">
        <v>26</v>
      </c>
      <c r="E71" s="61">
        <f>E72</f>
        <v>83575425</v>
      </c>
      <c r="F71" s="61">
        <f t="shared" ref="F71:P71" si="22">F72</f>
        <v>80389973</v>
      </c>
      <c r="G71" s="61">
        <f t="shared" si="22"/>
        <v>53452280</v>
      </c>
      <c r="H71" s="61">
        <f t="shared" si="22"/>
        <v>2531810</v>
      </c>
      <c r="I71" s="61">
        <f t="shared" si="22"/>
        <v>3185452</v>
      </c>
      <c r="J71" s="61">
        <f t="shared" si="22"/>
        <v>6164400</v>
      </c>
      <c r="K71" s="61">
        <f t="shared" si="22"/>
        <v>155000</v>
      </c>
      <c r="L71" s="61">
        <f t="shared" si="22"/>
        <v>5808200</v>
      </c>
      <c r="M71" s="61">
        <f t="shared" si="22"/>
        <v>4433900</v>
      </c>
      <c r="N71" s="61">
        <f t="shared" si="22"/>
        <v>181400</v>
      </c>
      <c r="O71" s="61">
        <f t="shared" si="22"/>
        <v>356200</v>
      </c>
      <c r="P71" s="61">
        <f t="shared" si="22"/>
        <v>0</v>
      </c>
      <c r="Q71" s="61">
        <f t="shared" si="19"/>
        <v>89739825</v>
      </c>
    </row>
    <row r="72" spans="1:17" s="10" customFormat="1" ht="111.75" customHeight="1">
      <c r="A72" s="37" t="s">
        <v>27</v>
      </c>
      <c r="B72" s="37"/>
      <c r="C72" s="37"/>
      <c r="D72" s="38" t="s">
        <v>26</v>
      </c>
      <c r="E72" s="61">
        <f t="shared" ref="E72:Q72" si="23">SUM(E73:E80)</f>
        <v>83575425</v>
      </c>
      <c r="F72" s="61">
        <f t="shared" si="23"/>
        <v>80389973</v>
      </c>
      <c r="G72" s="61">
        <f t="shared" si="23"/>
        <v>53452280</v>
      </c>
      <c r="H72" s="61">
        <f t="shared" si="23"/>
        <v>2531810</v>
      </c>
      <c r="I72" s="61">
        <f t="shared" si="23"/>
        <v>3185452</v>
      </c>
      <c r="J72" s="61">
        <f t="shared" si="23"/>
        <v>6164400</v>
      </c>
      <c r="K72" s="61">
        <f t="shared" si="23"/>
        <v>155000</v>
      </c>
      <c r="L72" s="61">
        <f t="shared" si="23"/>
        <v>5808200</v>
      </c>
      <c r="M72" s="61">
        <f t="shared" si="23"/>
        <v>4433900</v>
      </c>
      <c r="N72" s="61">
        <f t="shared" si="23"/>
        <v>181400</v>
      </c>
      <c r="O72" s="61">
        <f t="shared" si="23"/>
        <v>356200</v>
      </c>
      <c r="P72" s="61">
        <f t="shared" si="23"/>
        <v>0</v>
      </c>
      <c r="Q72" s="61">
        <f t="shared" si="23"/>
        <v>89739825</v>
      </c>
    </row>
    <row r="73" spans="1:17" s="31" customFormat="1" ht="192.75" customHeight="1">
      <c r="A73" s="32" t="s">
        <v>200</v>
      </c>
      <c r="B73" s="32" t="s">
        <v>114</v>
      </c>
      <c r="C73" s="32" t="s">
        <v>54</v>
      </c>
      <c r="D73" s="33" t="s">
        <v>305</v>
      </c>
      <c r="E73" s="62">
        <f>F73+I73</f>
        <v>1851073</v>
      </c>
      <c r="F73" s="62">
        <v>1851073</v>
      </c>
      <c r="G73" s="62">
        <v>1518380</v>
      </c>
      <c r="H73" s="62">
        <v>40510</v>
      </c>
      <c r="I73" s="62"/>
      <c r="J73" s="62">
        <f>L73+O73</f>
        <v>0</v>
      </c>
      <c r="K73" s="62"/>
      <c r="L73" s="62"/>
      <c r="M73" s="62"/>
      <c r="N73" s="62"/>
      <c r="O73" s="62"/>
      <c r="P73" s="62"/>
      <c r="Q73" s="61">
        <f t="shared" si="19"/>
        <v>1851073</v>
      </c>
    </row>
    <row r="74" spans="1:17" s="31" customFormat="1" ht="86.25" customHeight="1">
      <c r="A74" s="32" t="s">
        <v>201</v>
      </c>
      <c r="B74" s="32" t="s">
        <v>202</v>
      </c>
      <c r="C74" s="32" t="s">
        <v>125</v>
      </c>
      <c r="D74" s="69" t="s">
        <v>401</v>
      </c>
      <c r="E74" s="62">
        <f>F74+I74</f>
        <v>52467500</v>
      </c>
      <c r="F74" s="62">
        <v>52467500</v>
      </c>
      <c r="G74" s="62">
        <v>40605800</v>
      </c>
      <c r="H74" s="62">
        <v>1324200</v>
      </c>
      <c r="I74" s="62"/>
      <c r="J74" s="62">
        <f>L74+O74</f>
        <v>5649400</v>
      </c>
      <c r="K74" s="62"/>
      <c r="L74" s="62">
        <v>5473200</v>
      </c>
      <c r="M74" s="62">
        <v>4253900</v>
      </c>
      <c r="N74" s="62">
        <v>163900</v>
      </c>
      <c r="O74" s="62">
        <v>176200</v>
      </c>
      <c r="P74" s="62"/>
      <c r="Q74" s="61">
        <f t="shared" si="19"/>
        <v>58116900</v>
      </c>
    </row>
    <row r="75" spans="1:17" s="31" customFormat="1" ht="76.7" customHeight="1">
      <c r="A75" s="32" t="s">
        <v>203</v>
      </c>
      <c r="B75" s="32" t="s">
        <v>204</v>
      </c>
      <c r="C75" s="32" t="s">
        <v>205</v>
      </c>
      <c r="D75" s="33" t="s">
        <v>206</v>
      </c>
      <c r="E75" s="62">
        <f t="shared" ref="E75:E76" si="24">F75+I75</f>
        <v>7899200</v>
      </c>
      <c r="F75" s="62">
        <v>7899200</v>
      </c>
      <c r="G75" s="62">
        <v>4852300</v>
      </c>
      <c r="H75" s="62">
        <v>679400</v>
      </c>
      <c r="I75" s="62"/>
      <c r="J75" s="62">
        <f>L75+O75</f>
        <v>60000</v>
      </c>
      <c r="K75" s="62"/>
      <c r="L75" s="62">
        <v>60000</v>
      </c>
      <c r="M75" s="62"/>
      <c r="N75" s="62">
        <v>1000</v>
      </c>
      <c r="O75" s="62"/>
      <c r="P75" s="62"/>
      <c r="Q75" s="61">
        <f t="shared" si="19"/>
        <v>7959200</v>
      </c>
    </row>
    <row r="76" spans="1:17" s="31" customFormat="1" ht="207" customHeight="1">
      <c r="A76" s="32" t="s">
        <v>207</v>
      </c>
      <c r="B76" s="32" t="s">
        <v>208</v>
      </c>
      <c r="C76" s="32" t="s">
        <v>209</v>
      </c>
      <c r="D76" s="33" t="s">
        <v>210</v>
      </c>
      <c r="E76" s="62">
        <f t="shared" si="24"/>
        <v>7304900</v>
      </c>
      <c r="F76" s="62">
        <v>7304900</v>
      </c>
      <c r="G76" s="62">
        <v>5097600</v>
      </c>
      <c r="H76" s="62">
        <v>398500</v>
      </c>
      <c r="I76" s="62"/>
      <c r="J76" s="62">
        <f>L76+O76</f>
        <v>405000</v>
      </c>
      <c r="K76" s="62">
        <v>105000</v>
      </c>
      <c r="L76" s="62">
        <v>275000</v>
      </c>
      <c r="M76" s="62">
        <v>180000</v>
      </c>
      <c r="N76" s="62">
        <v>16500</v>
      </c>
      <c r="O76" s="62">
        <f>25000+105000</f>
        <v>130000</v>
      </c>
      <c r="P76" s="62"/>
      <c r="Q76" s="61">
        <f t="shared" si="19"/>
        <v>7709900</v>
      </c>
    </row>
    <row r="77" spans="1:17" s="31" customFormat="1" ht="96.75" customHeight="1">
      <c r="A77" s="32" t="s">
        <v>211</v>
      </c>
      <c r="B77" s="32" t="s">
        <v>212</v>
      </c>
      <c r="C77" s="32" t="s">
        <v>213</v>
      </c>
      <c r="D77" s="33" t="s">
        <v>214</v>
      </c>
      <c r="E77" s="62">
        <f>F77+I77</f>
        <v>989000</v>
      </c>
      <c r="F77" s="62">
        <v>989000</v>
      </c>
      <c r="G77" s="62"/>
      <c r="H77" s="62"/>
      <c r="I77" s="62"/>
      <c r="J77" s="62">
        <f>L77+O77</f>
        <v>0</v>
      </c>
      <c r="K77" s="62"/>
      <c r="L77" s="62"/>
      <c r="M77" s="62"/>
      <c r="N77" s="62"/>
      <c r="O77" s="62"/>
      <c r="P77" s="62"/>
      <c r="Q77" s="61">
        <f t="shared" si="19"/>
        <v>989000</v>
      </c>
    </row>
    <row r="78" spans="1:17" s="31" customFormat="1" ht="147.75" customHeight="1">
      <c r="A78" s="32" t="s">
        <v>215</v>
      </c>
      <c r="B78" s="32" t="s">
        <v>216</v>
      </c>
      <c r="C78" s="32" t="s">
        <v>217</v>
      </c>
      <c r="D78" s="33" t="s">
        <v>218</v>
      </c>
      <c r="E78" s="62">
        <f t="shared" ref="E78:E79" si="25">F78+I78</f>
        <v>1930300</v>
      </c>
      <c r="F78" s="62">
        <v>1930300</v>
      </c>
      <c r="G78" s="62">
        <v>1378200</v>
      </c>
      <c r="H78" s="62">
        <v>89200</v>
      </c>
      <c r="I78" s="62"/>
      <c r="J78" s="62">
        <f t="shared" ref="J78:J80" si="26">L78+O78</f>
        <v>0</v>
      </c>
      <c r="K78" s="62"/>
      <c r="L78" s="62"/>
      <c r="M78" s="62"/>
      <c r="N78" s="62"/>
      <c r="O78" s="62"/>
      <c r="P78" s="62"/>
      <c r="Q78" s="61">
        <f t="shared" si="19"/>
        <v>1930300</v>
      </c>
    </row>
    <row r="79" spans="1:17" s="31" customFormat="1" ht="102.75" customHeight="1">
      <c r="A79" s="32" t="s">
        <v>219</v>
      </c>
      <c r="B79" s="32" t="s">
        <v>220</v>
      </c>
      <c r="C79" s="32" t="s">
        <v>217</v>
      </c>
      <c r="D79" s="33" t="s">
        <v>221</v>
      </c>
      <c r="E79" s="62">
        <f t="shared" si="25"/>
        <v>7948000</v>
      </c>
      <c r="F79" s="62">
        <v>7948000</v>
      </c>
      <c r="G79" s="62"/>
      <c r="H79" s="62"/>
      <c r="I79" s="62"/>
      <c r="J79" s="62">
        <f t="shared" si="26"/>
        <v>50000</v>
      </c>
      <c r="K79" s="62">
        <v>50000</v>
      </c>
      <c r="L79" s="62"/>
      <c r="M79" s="62"/>
      <c r="N79" s="62"/>
      <c r="O79" s="62">
        <v>50000</v>
      </c>
      <c r="P79" s="62"/>
      <c r="Q79" s="61">
        <f t="shared" si="19"/>
        <v>7998000</v>
      </c>
    </row>
    <row r="80" spans="1:17" s="31" customFormat="1" ht="108" customHeight="1">
      <c r="A80" s="32" t="s">
        <v>222</v>
      </c>
      <c r="B80" s="32" t="s">
        <v>69</v>
      </c>
      <c r="C80" s="32" t="s">
        <v>68</v>
      </c>
      <c r="D80" s="33" t="s">
        <v>70</v>
      </c>
      <c r="E80" s="62">
        <f>F80+I80</f>
        <v>3185452</v>
      </c>
      <c r="F80" s="62"/>
      <c r="G80" s="62"/>
      <c r="H80" s="62"/>
      <c r="I80" s="62">
        <v>3185452</v>
      </c>
      <c r="J80" s="62">
        <f t="shared" si="26"/>
        <v>0</v>
      </c>
      <c r="K80" s="62"/>
      <c r="L80" s="62"/>
      <c r="M80" s="62"/>
      <c r="N80" s="62"/>
      <c r="O80" s="62"/>
      <c r="P80" s="62"/>
      <c r="Q80" s="61">
        <f t="shared" si="19"/>
        <v>3185452</v>
      </c>
    </row>
    <row r="81" spans="1:17" s="10" customFormat="1" ht="119.25" customHeight="1">
      <c r="A81" s="37" t="s">
        <v>28</v>
      </c>
      <c r="B81" s="37"/>
      <c r="C81" s="37"/>
      <c r="D81" s="38" t="s">
        <v>29</v>
      </c>
      <c r="E81" s="61">
        <f>E82</f>
        <v>31936110</v>
      </c>
      <c r="F81" s="61">
        <f t="shared" ref="F81:P81" si="27">F82</f>
        <v>31936110</v>
      </c>
      <c r="G81" s="61">
        <f t="shared" si="27"/>
        <v>11086532</v>
      </c>
      <c r="H81" s="61">
        <f t="shared" si="27"/>
        <v>1977829</v>
      </c>
      <c r="I81" s="61">
        <f t="shared" si="27"/>
        <v>0</v>
      </c>
      <c r="J81" s="61">
        <f t="shared" si="27"/>
        <v>4808500</v>
      </c>
      <c r="K81" s="61">
        <f t="shared" si="27"/>
        <v>4808500</v>
      </c>
      <c r="L81" s="61">
        <f t="shared" si="27"/>
        <v>0</v>
      </c>
      <c r="M81" s="61">
        <f t="shared" si="27"/>
        <v>0</v>
      </c>
      <c r="N81" s="61">
        <f t="shared" si="27"/>
        <v>0</v>
      </c>
      <c r="O81" s="61">
        <f t="shared" si="27"/>
        <v>4808500</v>
      </c>
      <c r="P81" s="61">
        <f t="shared" si="27"/>
        <v>0</v>
      </c>
      <c r="Q81" s="61">
        <f t="shared" si="19"/>
        <v>36744610</v>
      </c>
    </row>
    <row r="82" spans="1:17" s="40" customFormat="1" ht="127.5" customHeight="1">
      <c r="A82" s="37" t="s">
        <v>30</v>
      </c>
      <c r="B82" s="37"/>
      <c r="C82" s="37"/>
      <c r="D82" s="38" t="s">
        <v>29</v>
      </c>
      <c r="E82" s="61">
        <f>SUM(E83:E95)</f>
        <v>31936110</v>
      </c>
      <c r="F82" s="61">
        <f t="shared" ref="F82:Q82" si="28">SUM(F83:F95)</f>
        <v>31936110</v>
      </c>
      <c r="G82" s="61">
        <f t="shared" si="28"/>
        <v>11086532</v>
      </c>
      <c r="H82" s="61">
        <f t="shared" si="28"/>
        <v>1977829</v>
      </c>
      <c r="I82" s="61">
        <f t="shared" si="28"/>
        <v>0</v>
      </c>
      <c r="J82" s="61">
        <f t="shared" si="28"/>
        <v>4808500</v>
      </c>
      <c r="K82" s="61">
        <f t="shared" si="28"/>
        <v>4808500</v>
      </c>
      <c r="L82" s="61">
        <f t="shared" si="28"/>
        <v>0</v>
      </c>
      <c r="M82" s="61">
        <f t="shared" si="28"/>
        <v>0</v>
      </c>
      <c r="N82" s="61">
        <f t="shared" si="28"/>
        <v>0</v>
      </c>
      <c r="O82" s="61">
        <f t="shared" si="28"/>
        <v>4808500</v>
      </c>
      <c r="P82" s="61">
        <f t="shared" si="28"/>
        <v>0</v>
      </c>
      <c r="Q82" s="61">
        <f t="shared" si="28"/>
        <v>36744610</v>
      </c>
    </row>
    <row r="83" spans="1:17" s="27" customFormat="1" ht="158.25" customHeight="1">
      <c r="A83" s="32" t="s">
        <v>226</v>
      </c>
      <c r="B83" s="32" t="s">
        <v>227</v>
      </c>
      <c r="C83" s="32" t="s">
        <v>178</v>
      </c>
      <c r="D83" s="33" t="s">
        <v>228</v>
      </c>
      <c r="E83" s="62">
        <f t="shared" ref="E83:E94" si="29">F83+I83</f>
        <v>5379914</v>
      </c>
      <c r="F83" s="62">
        <v>5379914</v>
      </c>
      <c r="G83" s="62">
        <v>3882620</v>
      </c>
      <c r="H83" s="62">
        <v>93750</v>
      </c>
      <c r="I83" s="62"/>
      <c r="J83" s="62">
        <f>L83+O83</f>
        <v>0</v>
      </c>
      <c r="K83" s="62"/>
      <c r="L83" s="62"/>
      <c r="M83" s="62"/>
      <c r="N83" s="62"/>
      <c r="O83" s="62"/>
      <c r="P83" s="62"/>
      <c r="Q83" s="61">
        <f t="shared" si="19"/>
        <v>5379914</v>
      </c>
    </row>
    <row r="84" spans="1:17" s="27" customFormat="1" ht="103.7" customHeight="1">
      <c r="A84" s="32" t="s">
        <v>229</v>
      </c>
      <c r="B84" s="32" t="s">
        <v>230</v>
      </c>
      <c r="C84" s="32" t="s">
        <v>178</v>
      </c>
      <c r="D84" s="33" t="s">
        <v>231</v>
      </c>
      <c r="E84" s="62">
        <f t="shared" si="29"/>
        <v>280320</v>
      </c>
      <c r="F84" s="62">
        <v>280320</v>
      </c>
      <c r="G84" s="62"/>
      <c r="H84" s="62"/>
      <c r="I84" s="62"/>
      <c r="J84" s="62">
        <f t="shared" ref="J84:J86" si="30">L84+O84</f>
        <v>0</v>
      </c>
      <c r="K84" s="62"/>
      <c r="L84" s="62"/>
      <c r="M84" s="62"/>
      <c r="N84" s="62"/>
      <c r="O84" s="62"/>
      <c r="P84" s="62"/>
      <c r="Q84" s="61">
        <f t="shared" si="19"/>
        <v>280320</v>
      </c>
    </row>
    <row r="85" spans="1:17" s="27" customFormat="1" ht="174.75" customHeight="1">
      <c r="A85" s="32" t="s">
        <v>232</v>
      </c>
      <c r="B85" s="32" t="s">
        <v>233</v>
      </c>
      <c r="C85" s="32" t="s">
        <v>178</v>
      </c>
      <c r="D85" s="33" t="s">
        <v>234</v>
      </c>
      <c r="E85" s="62">
        <f t="shared" si="29"/>
        <v>1017900</v>
      </c>
      <c r="F85" s="62">
        <v>1017900</v>
      </c>
      <c r="G85" s="62"/>
      <c r="H85" s="62"/>
      <c r="I85" s="62"/>
      <c r="J85" s="62">
        <f t="shared" si="30"/>
        <v>0</v>
      </c>
      <c r="K85" s="62"/>
      <c r="L85" s="62"/>
      <c r="M85" s="62"/>
      <c r="N85" s="62"/>
      <c r="O85" s="62"/>
      <c r="P85" s="62"/>
      <c r="Q85" s="61">
        <f t="shared" si="19"/>
        <v>1017900</v>
      </c>
    </row>
    <row r="86" spans="1:17" s="27" customFormat="1" ht="123.75" customHeight="1">
      <c r="A86" s="32" t="s">
        <v>235</v>
      </c>
      <c r="B86" s="32" t="s">
        <v>236</v>
      </c>
      <c r="C86" s="32" t="s">
        <v>178</v>
      </c>
      <c r="D86" s="33" t="s">
        <v>237</v>
      </c>
      <c r="E86" s="62">
        <f t="shared" si="29"/>
        <v>8317957</v>
      </c>
      <c r="F86" s="62">
        <v>8317957</v>
      </c>
      <c r="G86" s="62">
        <v>5582037</v>
      </c>
      <c r="H86" s="62">
        <v>1115810</v>
      </c>
      <c r="I86" s="62"/>
      <c r="J86" s="62">
        <f t="shared" si="30"/>
        <v>0</v>
      </c>
      <c r="K86" s="62"/>
      <c r="L86" s="62"/>
      <c r="M86" s="62"/>
      <c r="N86" s="62"/>
      <c r="O86" s="62"/>
      <c r="P86" s="62"/>
      <c r="Q86" s="61">
        <f t="shared" si="19"/>
        <v>8317957</v>
      </c>
    </row>
    <row r="87" spans="1:17" s="27" customFormat="1" ht="106.5" customHeight="1">
      <c r="A87" s="32" t="s">
        <v>238</v>
      </c>
      <c r="B87" s="32" t="s">
        <v>239</v>
      </c>
      <c r="C87" s="32" t="s">
        <v>178</v>
      </c>
      <c r="D87" s="33" t="s">
        <v>240</v>
      </c>
      <c r="E87" s="62">
        <f t="shared" si="29"/>
        <v>412500</v>
      </c>
      <c r="F87" s="62">
        <f>409500+3000</f>
        <v>412500</v>
      </c>
      <c r="G87" s="62">
        <v>335600</v>
      </c>
      <c r="H87" s="62"/>
      <c r="I87" s="62"/>
      <c r="J87" s="62">
        <f>L87+O87</f>
        <v>0</v>
      </c>
      <c r="K87" s="62"/>
      <c r="L87" s="62"/>
      <c r="M87" s="62"/>
      <c r="N87" s="62"/>
      <c r="O87" s="62"/>
      <c r="P87" s="62"/>
      <c r="Q87" s="61">
        <f t="shared" si="19"/>
        <v>412500</v>
      </c>
    </row>
    <row r="88" spans="1:17" s="27" customFormat="1" ht="321" customHeight="1">
      <c r="A88" s="32" t="s">
        <v>241</v>
      </c>
      <c r="B88" s="32" t="s">
        <v>242</v>
      </c>
      <c r="C88" s="32" t="s">
        <v>178</v>
      </c>
      <c r="D88" s="33" t="s">
        <v>243</v>
      </c>
      <c r="E88" s="62">
        <f t="shared" si="29"/>
        <v>7357500</v>
      </c>
      <c r="F88" s="62">
        <f>5359000+1798500+200000</f>
        <v>7357500</v>
      </c>
      <c r="G88" s="62"/>
      <c r="H88" s="62"/>
      <c r="I88" s="62"/>
      <c r="J88" s="62">
        <f>+L88+O88</f>
        <v>0</v>
      </c>
      <c r="K88" s="62"/>
      <c r="L88" s="62"/>
      <c r="M88" s="62"/>
      <c r="N88" s="62"/>
      <c r="O88" s="62"/>
      <c r="P88" s="62"/>
      <c r="Q88" s="61">
        <f t="shared" si="19"/>
        <v>7357500</v>
      </c>
    </row>
    <row r="89" spans="1:17" s="27" customFormat="1" ht="173.25" customHeight="1">
      <c r="A89" s="32" t="s">
        <v>244</v>
      </c>
      <c r="B89" s="32" t="s">
        <v>245</v>
      </c>
      <c r="C89" s="32" t="s">
        <v>140</v>
      </c>
      <c r="D89" s="33" t="s">
        <v>246</v>
      </c>
      <c r="E89" s="62">
        <f t="shared" si="29"/>
        <v>1866500</v>
      </c>
      <c r="F89" s="62">
        <v>1866500</v>
      </c>
      <c r="G89" s="62"/>
      <c r="H89" s="62"/>
      <c r="I89" s="62"/>
      <c r="J89" s="62">
        <f t="shared" ref="J89:J90" si="31">+L89+O89</f>
        <v>0</v>
      </c>
      <c r="K89" s="62"/>
      <c r="L89" s="62"/>
      <c r="M89" s="62"/>
      <c r="N89" s="62"/>
      <c r="O89" s="62"/>
      <c r="P89" s="62"/>
      <c r="Q89" s="61">
        <f t="shared" si="19"/>
        <v>1866500</v>
      </c>
    </row>
    <row r="90" spans="1:17" s="27" customFormat="1" ht="156.75" customHeight="1">
      <c r="A90" s="32" t="s">
        <v>247</v>
      </c>
      <c r="B90" s="32" t="s">
        <v>248</v>
      </c>
      <c r="C90" s="32" t="s">
        <v>140</v>
      </c>
      <c r="D90" s="33" t="s">
        <v>249</v>
      </c>
      <c r="E90" s="62">
        <f t="shared" si="29"/>
        <v>1805500</v>
      </c>
      <c r="F90" s="62">
        <v>1805500</v>
      </c>
      <c r="G90" s="62"/>
      <c r="H90" s="62"/>
      <c r="I90" s="62"/>
      <c r="J90" s="62">
        <f t="shared" si="31"/>
        <v>0</v>
      </c>
      <c r="K90" s="62"/>
      <c r="L90" s="62"/>
      <c r="M90" s="62"/>
      <c r="N90" s="62"/>
      <c r="O90" s="62"/>
      <c r="P90" s="62"/>
      <c r="Q90" s="61">
        <f t="shared" si="19"/>
        <v>1805500</v>
      </c>
    </row>
    <row r="91" spans="1:17" s="27" customFormat="1" ht="203.25" customHeight="1">
      <c r="A91" s="32" t="s">
        <v>250</v>
      </c>
      <c r="B91" s="32" t="s">
        <v>251</v>
      </c>
      <c r="C91" s="32" t="s">
        <v>140</v>
      </c>
      <c r="D91" s="33" t="s">
        <v>252</v>
      </c>
      <c r="E91" s="62">
        <f t="shared" si="29"/>
        <v>92000</v>
      </c>
      <c r="F91" s="62">
        <v>92000</v>
      </c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1">
        <f t="shared" si="19"/>
        <v>92000</v>
      </c>
    </row>
    <row r="92" spans="1:17" s="27" customFormat="1" ht="169.5" customHeight="1">
      <c r="A92" s="32" t="s">
        <v>253</v>
      </c>
      <c r="B92" s="32" t="s">
        <v>139</v>
      </c>
      <c r="C92" s="32" t="s">
        <v>140</v>
      </c>
      <c r="D92" s="33" t="s">
        <v>141</v>
      </c>
      <c r="E92" s="62">
        <f t="shared" si="29"/>
        <v>2827519</v>
      </c>
      <c r="F92" s="62">
        <v>2827519</v>
      </c>
      <c r="G92" s="62">
        <v>1286275</v>
      </c>
      <c r="H92" s="62">
        <v>768269</v>
      </c>
      <c r="I92" s="62"/>
      <c r="J92" s="62"/>
      <c r="K92" s="62"/>
      <c r="L92" s="62"/>
      <c r="M92" s="62"/>
      <c r="N92" s="62"/>
      <c r="O92" s="62"/>
      <c r="P92" s="62"/>
      <c r="Q92" s="61">
        <f t="shared" si="19"/>
        <v>2827519</v>
      </c>
    </row>
    <row r="93" spans="1:17" s="27" customFormat="1" ht="237" customHeight="1">
      <c r="A93" s="32" t="s">
        <v>254</v>
      </c>
      <c r="B93" s="32" t="s">
        <v>255</v>
      </c>
      <c r="C93" s="32" t="s">
        <v>140</v>
      </c>
      <c r="D93" s="33" t="s">
        <v>256</v>
      </c>
      <c r="E93" s="62">
        <f t="shared" si="29"/>
        <v>1278500</v>
      </c>
      <c r="F93" s="62">
        <v>1278500</v>
      </c>
      <c r="G93" s="62"/>
      <c r="H93" s="62"/>
      <c r="I93" s="62"/>
      <c r="J93" s="62">
        <f>L93+O93</f>
        <v>0</v>
      </c>
      <c r="K93" s="62"/>
      <c r="L93" s="62"/>
      <c r="M93" s="62"/>
      <c r="N93" s="62"/>
      <c r="O93" s="62"/>
      <c r="P93" s="62"/>
      <c r="Q93" s="61">
        <f t="shared" si="19"/>
        <v>1278500</v>
      </c>
    </row>
    <row r="94" spans="1:17" s="27" customFormat="1" ht="237" customHeight="1">
      <c r="A94" s="32" t="s">
        <v>402</v>
      </c>
      <c r="B94" s="32" t="s">
        <v>403</v>
      </c>
      <c r="C94" s="32" t="s">
        <v>140</v>
      </c>
      <c r="D94" s="33" t="s">
        <v>404</v>
      </c>
      <c r="E94" s="62">
        <f t="shared" si="29"/>
        <v>1300000</v>
      </c>
      <c r="F94" s="62">
        <v>1300000</v>
      </c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1">
        <f t="shared" si="19"/>
        <v>1300000</v>
      </c>
    </row>
    <row r="95" spans="1:17" s="27" customFormat="1" ht="108" customHeight="1">
      <c r="A95" s="32" t="s">
        <v>345</v>
      </c>
      <c r="B95" s="32" t="s">
        <v>342</v>
      </c>
      <c r="C95" s="32" t="s">
        <v>77</v>
      </c>
      <c r="D95" s="33" t="s">
        <v>343</v>
      </c>
      <c r="E95" s="62"/>
      <c r="F95" s="62"/>
      <c r="G95" s="62"/>
      <c r="H95" s="62"/>
      <c r="I95" s="62"/>
      <c r="J95" s="62">
        <f>+L95+O95</f>
        <v>4808500</v>
      </c>
      <c r="K95" s="62">
        <v>4808500</v>
      </c>
      <c r="L95" s="62"/>
      <c r="M95" s="62"/>
      <c r="N95" s="62"/>
      <c r="O95" s="62">
        <v>4808500</v>
      </c>
      <c r="P95" s="62"/>
      <c r="Q95" s="61">
        <f t="shared" si="19"/>
        <v>4808500</v>
      </c>
    </row>
    <row r="96" spans="1:17" s="10" customFormat="1" ht="134.25" customHeight="1">
      <c r="A96" s="37" t="s">
        <v>31</v>
      </c>
      <c r="B96" s="37"/>
      <c r="C96" s="37"/>
      <c r="D96" s="38" t="s">
        <v>32</v>
      </c>
      <c r="E96" s="61">
        <f>E97</f>
        <v>24334710</v>
      </c>
      <c r="F96" s="61">
        <f t="shared" ref="F96:P96" si="32">F97</f>
        <v>23358626</v>
      </c>
      <c r="G96" s="61">
        <f t="shared" si="32"/>
        <v>4702288</v>
      </c>
      <c r="H96" s="61">
        <f t="shared" si="32"/>
        <v>12490</v>
      </c>
      <c r="I96" s="61">
        <f t="shared" si="32"/>
        <v>976084</v>
      </c>
      <c r="J96" s="61">
        <f t="shared" si="32"/>
        <v>15643101.030000001</v>
      </c>
      <c r="K96" s="61">
        <f t="shared" si="32"/>
        <v>14743101.030000001</v>
      </c>
      <c r="L96" s="61">
        <f t="shared" si="32"/>
        <v>900000</v>
      </c>
      <c r="M96" s="61">
        <f t="shared" si="32"/>
        <v>0</v>
      </c>
      <c r="N96" s="61">
        <f t="shared" si="32"/>
        <v>0</v>
      </c>
      <c r="O96" s="61">
        <f t="shared" si="32"/>
        <v>14743101.030000001</v>
      </c>
      <c r="P96" s="61">
        <f t="shared" si="32"/>
        <v>0</v>
      </c>
      <c r="Q96" s="61">
        <f t="shared" si="19"/>
        <v>39977811.030000001</v>
      </c>
    </row>
    <row r="97" spans="1:17" s="10" customFormat="1" ht="142.5" customHeight="1">
      <c r="A97" s="37" t="s">
        <v>33</v>
      </c>
      <c r="B97" s="37"/>
      <c r="C97" s="37"/>
      <c r="D97" s="38" t="s">
        <v>32</v>
      </c>
      <c r="E97" s="61">
        <f t="shared" ref="E97:P97" si="33">SUM(E98:E106)</f>
        <v>24334710</v>
      </c>
      <c r="F97" s="61">
        <f t="shared" si="33"/>
        <v>23358626</v>
      </c>
      <c r="G97" s="61">
        <f t="shared" si="33"/>
        <v>4702288</v>
      </c>
      <c r="H97" s="61">
        <f t="shared" si="33"/>
        <v>12490</v>
      </c>
      <c r="I97" s="61">
        <f t="shared" si="33"/>
        <v>976084</v>
      </c>
      <c r="J97" s="61">
        <f t="shared" si="33"/>
        <v>15643101.030000001</v>
      </c>
      <c r="K97" s="61">
        <f>SUM(K98:K106)</f>
        <v>14743101.030000001</v>
      </c>
      <c r="L97" s="61">
        <f>SUM(L98:L106)</f>
        <v>900000</v>
      </c>
      <c r="M97" s="61">
        <f t="shared" si="33"/>
        <v>0</v>
      </c>
      <c r="N97" s="61">
        <f t="shared" si="33"/>
        <v>0</v>
      </c>
      <c r="O97" s="61">
        <f>SUM(O98:O106)</f>
        <v>14743101.030000001</v>
      </c>
      <c r="P97" s="61">
        <f t="shared" si="33"/>
        <v>0</v>
      </c>
      <c r="Q97" s="61">
        <f t="shared" si="19"/>
        <v>39977811.030000001</v>
      </c>
    </row>
    <row r="98" spans="1:17" s="31" customFormat="1" ht="228" customHeight="1">
      <c r="A98" s="32" t="s">
        <v>257</v>
      </c>
      <c r="B98" s="32" t="s">
        <v>114</v>
      </c>
      <c r="C98" s="32" t="s">
        <v>54</v>
      </c>
      <c r="D98" s="33" t="s">
        <v>305</v>
      </c>
      <c r="E98" s="62">
        <f t="shared" ref="E98:E106" si="34">F98+I98</f>
        <v>5360988</v>
      </c>
      <c r="F98" s="62">
        <v>5360988</v>
      </c>
      <c r="G98" s="62">
        <v>4205568</v>
      </c>
      <c r="H98" s="62"/>
      <c r="I98" s="62"/>
      <c r="J98" s="62">
        <f t="shared" ref="J98:J106" si="35">L98+O98</f>
        <v>0</v>
      </c>
      <c r="K98" s="62"/>
      <c r="L98" s="62"/>
      <c r="M98" s="62"/>
      <c r="N98" s="62"/>
      <c r="O98" s="62"/>
      <c r="P98" s="62"/>
      <c r="Q98" s="61">
        <f t="shared" si="19"/>
        <v>5360988</v>
      </c>
    </row>
    <row r="99" spans="1:17" s="31" customFormat="1" ht="228" customHeight="1">
      <c r="A99" s="32" t="s">
        <v>397</v>
      </c>
      <c r="B99" s="32" t="s">
        <v>395</v>
      </c>
      <c r="C99" s="32" t="s">
        <v>73</v>
      </c>
      <c r="D99" s="33" t="s">
        <v>396</v>
      </c>
      <c r="E99" s="62">
        <f t="shared" si="34"/>
        <v>476084</v>
      </c>
      <c r="F99" s="62"/>
      <c r="G99" s="62"/>
      <c r="H99" s="62"/>
      <c r="I99" s="62">
        <f>401000+49000+26084</f>
        <v>476084</v>
      </c>
      <c r="J99" s="62">
        <f t="shared" si="35"/>
        <v>0</v>
      </c>
      <c r="K99" s="62"/>
      <c r="L99" s="62"/>
      <c r="M99" s="62"/>
      <c r="N99" s="62"/>
      <c r="O99" s="62"/>
      <c r="P99" s="62"/>
      <c r="Q99" s="61">
        <f t="shared" si="19"/>
        <v>476084</v>
      </c>
    </row>
    <row r="100" spans="1:17" s="31" customFormat="1" ht="114.75" customHeight="1">
      <c r="A100" s="32" t="s">
        <v>369</v>
      </c>
      <c r="B100" s="32" t="s">
        <v>368</v>
      </c>
      <c r="C100" s="32" t="s">
        <v>68</v>
      </c>
      <c r="D100" s="33" t="s">
        <v>370</v>
      </c>
      <c r="E100" s="62">
        <f t="shared" si="34"/>
        <v>500000</v>
      </c>
      <c r="F100" s="62"/>
      <c r="G100" s="62"/>
      <c r="H100" s="62"/>
      <c r="I100" s="62">
        <v>500000</v>
      </c>
      <c r="J100" s="62">
        <f t="shared" si="35"/>
        <v>0</v>
      </c>
      <c r="K100" s="62"/>
      <c r="L100" s="62"/>
      <c r="M100" s="62"/>
      <c r="N100" s="62"/>
      <c r="O100" s="62"/>
      <c r="P100" s="62"/>
      <c r="Q100" s="61">
        <f t="shared" si="19"/>
        <v>500000</v>
      </c>
    </row>
    <row r="101" spans="1:17" s="31" customFormat="1" ht="186" customHeight="1">
      <c r="A101" s="32" t="s">
        <v>258</v>
      </c>
      <c r="B101" s="32" t="s">
        <v>67</v>
      </c>
      <c r="C101" s="32" t="s">
        <v>68</v>
      </c>
      <c r="D101" s="33" t="s">
        <v>259</v>
      </c>
      <c r="E101" s="62">
        <f>F101+I101</f>
        <v>15410000</v>
      </c>
      <c r="F101" s="62">
        <v>15410000</v>
      </c>
      <c r="G101" s="62"/>
      <c r="H101" s="62"/>
      <c r="I101" s="62"/>
      <c r="J101" s="62">
        <f t="shared" si="35"/>
        <v>154275</v>
      </c>
      <c r="K101" s="62">
        <v>154275</v>
      </c>
      <c r="L101" s="62"/>
      <c r="M101" s="62"/>
      <c r="N101" s="62"/>
      <c r="O101" s="62">
        <v>154275</v>
      </c>
      <c r="P101" s="62"/>
      <c r="Q101" s="61">
        <f t="shared" si="19"/>
        <v>15564275</v>
      </c>
    </row>
    <row r="102" spans="1:17" s="31" customFormat="1" ht="116.25" customHeight="1">
      <c r="A102" s="32" t="s">
        <v>260</v>
      </c>
      <c r="B102" s="32" t="s">
        <v>69</v>
      </c>
      <c r="C102" s="32" t="s">
        <v>68</v>
      </c>
      <c r="D102" s="33" t="s">
        <v>70</v>
      </c>
      <c r="E102" s="62">
        <f t="shared" si="34"/>
        <v>1150000</v>
      </c>
      <c r="F102" s="62">
        <v>1150000</v>
      </c>
      <c r="G102" s="62"/>
      <c r="H102" s="62"/>
      <c r="I102" s="62"/>
      <c r="J102" s="62">
        <f t="shared" si="35"/>
        <v>0</v>
      </c>
      <c r="K102" s="62"/>
      <c r="L102" s="62"/>
      <c r="M102" s="62"/>
      <c r="N102" s="62"/>
      <c r="O102" s="62"/>
      <c r="P102" s="62"/>
      <c r="Q102" s="61">
        <f t="shared" si="19"/>
        <v>1150000</v>
      </c>
    </row>
    <row r="103" spans="1:17" s="31" customFormat="1" ht="120" customHeight="1">
      <c r="A103" s="32" t="s">
        <v>261</v>
      </c>
      <c r="B103" s="32" t="s">
        <v>164</v>
      </c>
      <c r="C103" s="32" t="s">
        <v>165</v>
      </c>
      <c r="D103" s="33" t="s">
        <v>166</v>
      </c>
      <c r="E103" s="62">
        <f t="shared" si="34"/>
        <v>627638</v>
      </c>
      <c r="F103" s="62">
        <v>627638</v>
      </c>
      <c r="G103" s="62">
        <v>496720</v>
      </c>
      <c r="H103" s="62">
        <v>12490</v>
      </c>
      <c r="I103" s="62"/>
      <c r="J103" s="62">
        <f t="shared" si="35"/>
        <v>0</v>
      </c>
      <c r="K103" s="62"/>
      <c r="L103" s="62"/>
      <c r="M103" s="62"/>
      <c r="N103" s="62"/>
      <c r="O103" s="62"/>
      <c r="P103" s="62"/>
      <c r="Q103" s="61">
        <f t="shared" si="19"/>
        <v>627638</v>
      </c>
    </row>
    <row r="104" spans="1:17" s="31" customFormat="1" ht="120" customHeight="1">
      <c r="A104" s="32" t="s">
        <v>405</v>
      </c>
      <c r="B104" s="32" t="s">
        <v>406</v>
      </c>
      <c r="C104" s="32" t="s">
        <v>344</v>
      </c>
      <c r="D104" s="33" t="s">
        <v>408</v>
      </c>
      <c r="E104" s="62"/>
      <c r="F104" s="62"/>
      <c r="G104" s="62"/>
      <c r="H104" s="62"/>
      <c r="I104" s="62"/>
      <c r="J104" s="62">
        <f t="shared" si="35"/>
        <v>14588826.030000001</v>
      </c>
      <c r="K104" s="62">
        <f>150000+150000+10000000+4288826.03</f>
        <v>14588826.030000001</v>
      </c>
      <c r="L104" s="62"/>
      <c r="M104" s="62"/>
      <c r="N104" s="62"/>
      <c r="O104" s="62">
        <f>150000+150000+10000000+4288826.03</f>
        <v>14588826.030000001</v>
      </c>
      <c r="P104" s="62"/>
      <c r="Q104" s="61">
        <f t="shared" si="19"/>
        <v>14588826.030000001</v>
      </c>
    </row>
    <row r="105" spans="1:17" s="31" customFormat="1" ht="138.75" customHeight="1">
      <c r="A105" s="32" t="s">
        <v>262</v>
      </c>
      <c r="B105" s="32" t="s">
        <v>223</v>
      </c>
      <c r="C105" s="32" t="s">
        <v>224</v>
      </c>
      <c r="D105" s="33" t="s">
        <v>225</v>
      </c>
      <c r="E105" s="62">
        <f t="shared" si="34"/>
        <v>810000</v>
      </c>
      <c r="F105" s="62">
        <v>810000</v>
      </c>
      <c r="G105" s="62"/>
      <c r="H105" s="62"/>
      <c r="I105" s="62"/>
      <c r="J105" s="62">
        <f t="shared" si="35"/>
        <v>0</v>
      </c>
      <c r="K105" s="62"/>
      <c r="L105" s="62"/>
      <c r="M105" s="62"/>
      <c r="N105" s="62"/>
      <c r="O105" s="62"/>
      <c r="P105" s="62"/>
      <c r="Q105" s="61">
        <f t="shared" si="19"/>
        <v>810000</v>
      </c>
    </row>
    <row r="106" spans="1:17" s="31" customFormat="1" ht="125.25" customHeight="1">
      <c r="A106" s="32" t="s">
        <v>263</v>
      </c>
      <c r="B106" s="32" t="s">
        <v>264</v>
      </c>
      <c r="C106" s="32" t="s">
        <v>224</v>
      </c>
      <c r="D106" s="33" t="s">
        <v>265</v>
      </c>
      <c r="E106" s="62">
        <f t="shared" si="34"/>
        <v>0</v>
      </c>
      <c r="F106" s="62"/>
      <c r="G106" s="62"/>
      <c r="H106" s="62"/>
      <c r="I106" s="62"/>
      <c r="J106" s="62">
        <f t="shared" si="35"/>
        <v>900000</v>
      </c>
      <c r="K106" s="62"/>
      <c r="L106" s="62">
        <v>900000</v>
      </c>
      <c r="M106" s="62"/>
      <c r="N106" s="62"/>
      <c r="O106" s="62"/>
      <c r="P106" s="62"/>
      <c r="Q106" s="61">
        <f t="shared" si="19"/>
        <v>900000</v>
      </c>
    </row>
    <row r="107" spans="1:17" s="10" customFormat="1" ht="140.25" customHeight="1">
      <c r="A107" s="37" t="s">
        <v>34</v>
      </c>
      <c r="B107" s="37"/>
      <c r="C107" s="37"/>
      <c r="D107" s="38" t="s">
        <v>35</v>
      </c>
      <c r="E107" s="61">
        <f>E108</f>
        <v>211597435</v>
      </c>
      <c r="F107" s="61">
        <f t="shared" ref="F107:P107" si="36">F108</f>
        <v>17630937</v>
      </c>
      <c r="G107" s="61">
        <f t="shared" si="36"/>
        <v>4550996</v>
      </c>
      <c r="H107" s="61">
        <f t="shared" si="36"/>
        <v>9253057</v>
      </c>
      <c r="I107" s="61">
        <f t="shared" si="36"/>
        <v>193966498</v>
      </c>
      <c r="J107" s="61">
        <f t="shared" si="36"/>
        <v>18749195.109999999</v>
      </c>
      <c r="K107" s="61">
        <f t="shared" si="36"/>
        <v>18149195.109999999</v>
      </c>
      <c r="L107" s="61">
        <f t="shared" si="36"/>
        <v>0</v>
      </c>
      <c r="M107" s="61">
        <f t="shared" si="36"/>
        <v>0</v>
      </c>
      <c r="N107" s="61">
        <f t="shared" si="36"/>
        <v>0</v>
      </c>
      <c r="O107" s="61">
        <f t="shared" si="36"/>
        <v>18749195.109999999</v>
      </c>
      <c r="P107" s="61">
        <f t="shared" si="36"/>
        <v>0</v>
      </c>
      <c r="Q107" s="61">
        <f t="shared" si="19"/>
        <v>230346630.11000001</v>
      </c>
    </row>
    <row r="108" spans="1:17" s="10" customFormat="1" ht="137.25" customHeight="1">
      <c r="A108" s="37" t="s">
        <v>36</v>
      </c>
      <c r="B108" s="37"/>
      <c r="C108" s="37"/>
      <c r="D108" s="38" t="s">
        <v>35</v>
      </c>
      <c r="E108" s="61">
        <f t="shared" ref="E108:Q108" si="37">SUM(E109:E119)</f>
        <v>211597435</v>
      </c>
      <c r="F108" s="61">
        <f t="shared" si="37"/>
        <v>17630937</v>
      </c>
      <c r="G108" s="61">
        <f t="shared" si="37"/>
        <v>4550996</v>
      </c>
      <c r="H108" s="61">
        <f t="shared" si="37"/>
        <v>9253057</v>
      </c>
      <c r="I108" s="61">
        <f t="shared" si="37"/>
        <v>193966498</v>
      </c>
      <c r="J108" s="61">
        <f t="shared" si="37"/>
        <v>18749195.109999999</v>
      </c>
      <c r="K108" s="61">
        <f t="shared" si="37"/>
        <v>18149195.109999999</v>
      </c>
      <c r="L108" s="61">
        <f t="shared" si="37"/>
        <v>0</v>
      </c>
      <c r="M108" s="61">
        <f t="shared" si="37"/>
        <v>0</v>
      </c>
      <c r="N108" s="61">
        <f t="shared" si="37"/>
        <v>0</v>
      </c>
      <c r="O108" s="61">
        <f t="shared" si="37"/>
        <v>18749195.109999999</v>
      </c>
      <c r="P108" s="61">
        <f t="shared" si="37"/>
        <v>0</v>
      </c>
      <c r="Q108" s="61">
        <f t="shared" si="37"/>
        <v>230346630.11000001</v>
      </c>
    </row>
    <row r="109" spans="1:17" s="31" customFormat="1" ht="236.25" customHeight="1">
      <c r="A109" s="32" t="s">
        <v>266</v>
      </c>
      <c r="B109" s="32" t="s">
        <v>114</v>
      </c>
      <c r="C109" s="32" t="s">
        <v>54</v>
      </c>
      <c r="D109" s="33" t="s">
        <v>305</v>
      </c>
      <c r="E109" s="62">
        <f t="shared" ref="E109:E119" si="38">F109+I109</f>
        <v>5132364</v>
      </c>
      <c r="F109" s="62">
        <v>5132364</v>
      </c>
      <c r="G109" s="62">
        <v>4050667</v>
      </c>
      <c r="H109" s="62"/>
      <c r="I109" s="62"/>
      <c r="J109" s="62">
        <f>L109+O109</f>
        <v>0</v>
      </c>
      <c r="K109" s="62"/>
      <c r="L109" s="62"/>
      <c r="M109" s="62"/>
      <c r="N109" s="62"/>
      <c r="O109" s="62"/>
      <c r="P109" s="62"/>
      <c r="Q109" s="61">
        <f t="shared" si="19"/>
        <v>5132364</v>
      </c>
    </row>
    <row r="110" spans="1:17" s="31" customFormat="1" ht="189.95" customHeight="1">
      <c r="A110" s="32" t="s">
        <v>267</v>
      </c>
      <c r="B110" s="32" t="s">
        <v>268</v>
      </c>
      <c r="C110" s="32" t="s">
        <v>68</v>
      </c>
      <c r="D110" s="33" t="s">
        <v>269</v>
      </c>
      <c r="E110" s="62">
        <f t="shared" si="38"/>
        <v>108549642</v>
      </c>
      <c r="F110" s="62"/>
      <c r="G110" s="62"/>
      <c r="H110" s="62"/>
      <c r="I110" s="62">
        <v>108549642</v>
      </c>
      <c r="J110" s="62">
        <f>+L110+O110</f>
        <v>10948.92</v>
      </c>
      <c r="K110" s="62">
        <v>10948.92</v>
      </c>
      <c r="L110" s="62"/>
      <c r="M110" s="62"/>
      <c r="N110" s="62"/>
      <c r="O110" s="62">
        <v>10948.92</v>
      </c>
      <c r="P110" s="62"/>
      <c r="Q110" s="61">
        <f t="shared" si="19"/>
        <v>108560590.92</v>
      </c>
    </row>
    <row r="111" spans="1:17" s="31" customFormat="1" ht="189.95" customHeight="1">
      <c r="A111" s="32" t="s">
        <v>270</v>
      </c>
      <c r="B111" s="32" t="s">
        <v>271</v>
      </c>
      <c r="C111" s="32" t="s">
        <v>68</v>
      </c>
      <c r="D111" s="33" t="s">
        <v>272</v>
      </c>
      <c r="E111" s="62">
        <f t="shared" si="38"/>
        <v>14913600</v>
      </c>
      <c r="F111" s="62"/>
      <c r="G111" s="62"/>
      <c r="H111" s="62"/>
      <c r="I111" s="62">
        <f>6750000+8163600</f>
        <v>14913600</v>
      </c>
      <c r="J111" s="62"/>
      <c r="K111" s="62"/>
      <c r="L111" s="62"/>
      <c r="M111" s="62"/>
      <c r="N111" s="62"/>
      <c r="O111" s="62"/>
      <c r="P111" s="62"/>
      <c r="Q111" s="61">
        <f t="shared" ref="Q111:Q177" si="39">+E111+J111</f>
        <v>14913600</v>
      </c>
    </row>
    <row r="112" spans="1:17" s="31" customFormat="1" ht="117.95" customHeight="1">
      <c r="A112" s="32" t="s">
        <v>273</v>
      </c>
      <c r="B112" s="32" t="s">
        <v>69</v>
      </c>
      <c r="C112" s="32" t="s">
        <v>68</v>
      </c>
      <c r="D112" s="33" t="s">
        <v>70</v>
      </c>
      <c r="E112" s="62">
        <f t="shared" si="38"/>
        <v>76638777</v>
      </c>
      <c r="F112" s="62">
        <v>9242041</v>
      </c>
      <c r="G112" s="62"/>
      <c r="H112" s="62">
        <v>9242041</v>
      </c>
      <c r="I112" s="62">
        <v>67396736</v>
      </c>
      <c r="J112" s="62">
        <f>+L112+O112</f>
        <v>0</v>
      </c>
      <c r="K112" s="62"/>
      <c r="L112" s="62"/>
      <c r="M112" s="62"/>
      <c r="N112" s="62"/>
      <c r="O112" s="62"/>
      <c r="P112" s="62"/>
      <c r="Q112" s="61">
        <f t="shared" si="39"/>
        <v>76638777</v>
      </c>
    </row>
    <row r="113" spans="1:17" s="31" customFormat="1" ht="161.25" customHeight="1">
      <c r="A113" s="32" t="s">
        <v>274</v>
      </c>
      <c r="B113" s="32" t="s">
        <v>164</v>
      </c>
      <c r="C113" s="32" t="s">
        <v>165</v>
      </c>
      <c r="D113" s="33" t="s">
        <v>166</v>
      </c>
      <c r="E113" s="62">
        <f t="shared" si="38"/>
        <v>3790048</v>
      </c>
      <c r="F113" s="62">
        <f>631318+52210</f>
        <v>683528</v>
      </c>
      <c r="G113" s="62">
        <v>500329</v>
      </c>
      <c r="H113" s="62">
        <v>11016</v>
      </c>
      <c r="I113" s="62">
        <v>3106520</v>
      </c>
      <c r="J113" s="62">
        <f t="shared" ref="J113:J115" si="40">+L113+O113</f>
        <v>0</v>
      </c>
      <c r="K113" s="62"/>
      <c r="L113" s="62"/>
      <c r="M113" s="62"/>
      <c r="N113" s="62"/>
      <c r="O113" s="62"/>
      <c r="P113" s="62"/>
      <c r="Q113" s="61">
        <f t="shared" si="39"/>
        <v>3790048</v>
      </c>
    </row>
    <row r="114" spans="1:17" s="31" customFormat="1" ht="161.25" customHeight="1">
      <c r="A114" s="32" t="s">
        <v>409</v>
      </c>
      <c r="B114" s="32" t="s">
        <v>406</v>
      </c>
      <c r="C114" s="32" t="s">
        <v>344</v>
      </c>
      <c r="D114" s="33" t="s">
        <v>410</v>
      </c>
      <c r="E114" s="62"/>
      <c r="F114" s="62"/>
      <c r="G114" s="62"/>
      <c r="H114" s="62"/>
      <c r="I114" s="62"/>
      <c r="J114" s="62">
        <f t="shared" si="40"/>
        <v>2066718.06</v>
      </c>
      <c r="K114" s="62">
        <v>2066718.06</v>
      </c>
      <c r="L114" s="62"/>
      <c r="M114" s="62"/>
      <c r="N114" s="62"/>
      <c r="O114" s="62">
        <v>2066718.06</v>
      </c>
      <c r="P114" s="62"/>
      <c r="Q114" s="61">
        <f t="shared" si="39"/>
        <v>2066718.06</v>
      </c>
    </row>
    <row r="115" spans="1:17" s="31" customFormat="1" ht="161.25" customHeight="1">
      <c r="A115" s="32" t="s">
        <v>382</v>
      </c>
      <c r="B115" s="32" t="s">
        <v>342</v>
      </c>
      <c r="C115" s="32" t="s">
        <v>77</v>
      </c>
      <c r="D115" s="33" t="s">
        <v>411</v>
      </c>
      <c r="E115" s="62"/>
      <c r="F115" s="62"/>
      <c r="G115" s="62"/>
      <c r="H115" s="62"/>
      <c r="I115" s="62"/>
      <c r="J115" s="62">
        <f t="shared" si="40"/>
        <v>16071528.129999999</v>
      </c>
      <c r="K115" s="62">
        <f>9542209+6529319.13</f>
        <v>16071528.129999999</v>
      </c>
      <c r="L115" s="62"/>
      <c r="M115" s="62"/>
      <c r="N115" s="62"/>
      <c r="O115" s="62">
        <f>9542209+6529319.13</f>
        <v>16071528.129999999</v>
      </c>
      <c r="P115" s="62"/>
      <c r="Q115" s="61">
        <f t="shared" si="39"/>
        <v>16071528.129999999</v>
      </c>
    </row>
    <row r="116" spans="1:17" s="31" customFormat="1" ht="129" customHeight="1">
      <c r="A116" s="32" t="s">
        <v>281</v>
      </c>
      <c r="B116" s="32" t="s">
        <v>282</v>
      </c>
      <c r="C116" s="32" t="s">
        <v>283</v>
      </c>
      <c r="D116" s="33" t="s">
        <v>284</v>
      </c>
      <c r="E116" s="62">
        <f t="shared" si="38"/>
        <v>888000</v>
      </c>
      <c r="F116" s="62">
        <v>888000</v>
      </c>
      <c r="G116" s="62"/>
      <c r="H116" s="62"/>
      <c r="I116" s="62"/>
      <c r="J116" s="62">
        <f t="shared" ref="J116" si="41">+L116+O116</f>
        <v>0</v>
      </c>
      <c r="K116" s="62"/>
      <c r="L116" s="62"/>
      <c r="M116" s="62"/>
      <c r="N116" s="62"/>
      <c r="O116" s="62"/>
      <c r="P116" s="62"/>
      <c r="Q116" s="61">
        <f t="shared" si="39"/>
        <v>888000</v>
      </c>
    </row>
    <row r="117" spans="1:17" s="31" customFormat="1" ht="111.75" customHeight="1">
      <c r="A117" s="32" t="s">
        <v>285</v>
      </c>
      <c r="B117" s="32" t="s">
        <v>286</v>
      </c>
      <c r="C117" s="32" t="s">
        <v>287</v>
      </c>
      <c r="D117" s="33" t="s">
        <v>288</v>
      </c>
      <c r="E117" s="62">
        <f t="shared" si="38"/>
        <v>69000</v>
      </c>
      <c r="F117" s="62">
        <v>69000</v>
      </c>
      <c r="G117" s="62"/>
      <c r="H117" s="62"/>
      <c r="I117" s="62"/>
      <c r="J117" s="62">
        <f>L117+O117</f>
        <v>0</v>
      </c>
      <c r="K117" s="62"/>
      <c r="L117" s="62"/>
      <c r="M117" s="62"/>
      <c r="N117" s="62"/>
      <c r="O117" s="62"/>
      <c r="P117" s="62"/>
      <c r="Q117" s="61">
        <f t="shared" si="39"/>
        <v>69000</v>
      </c>
    </row>
    <row r="118" spans="1:17" s="31" customFormat="1" ht="169.5" customHeight="1">
      <c r="A118" s="32" t="s">
        <v>289</v>
      </c>
      <c r="B118" s="32" t="s">
        <v>223</v>
      </c>
      <c r="C118" s="32" t="s">
        <v>224</v>
      </c>
      <c r="D118" s="33" t="s">
        <v>225</v>
      </c>
      <c r="E118" s="62">
        <f t="shared" si="38"/>
        <v>1616004</v>
      </c>
      <c r="F118" s="62">
        <v>1616004</v>
      </c>
      <c r="G118" s="62"/>
      <c r="H118" s="62"/>
      <c r="I118" s="62"/>
      <c r="J118" s="62">
        <f>L118+O118</f>
        <v>0</v>
      </c>
      <c r="K118" s="62"/>
      <c r="L118" s="62"/>
      <c r="M118" s="62"/>
      <c r="N118" s="62"/>
      <c r="O118" s="62"/>
      <c r="P118" s="62"/>
      <c r="Q118" s="61">
        <f t="shared" si="39"/>
        <v>1616004</v>
      </c>
    </row>
    <row r="119" spans="1:17" s="31" customFormat="1" ht="169.5" customHeight="1">
      <c r="A119" s="32" t="s">
        <v>374</v>
      </c>
      <c r="B119" s="32" t="s">
        <v>264</v>
      </c>
      <c r="C119" s="32" t="s">
        <v>224</v>
      </c>
      <c r="D119" s="33" t="s">
        <v>265</v>
      </c>
      <c r="E119" s="62">
        <f t="shared" si="38"/>
        <v>0</v>
      </c>
      <c r="F119" s="62"/>
      <c r="G119" s="62"/>
      <c r="H119" s="62"/>
      <c r="I119" s="62"/>
      <c r="J119" s="62">
        <f>L119+O119</f>
        <v>600000</v>
      </c>
      <c r="K119" s="62"/>
      <c r="L119" s="62"/>
      <c r="M119" s="62"/>
      <c r="N119" s="62"/>
      <c r="O119" s="62">
        <v>600000</v>
      </c>
      <c r="P119" s="62"/>
      <c r="Q119" s="61">
        <f t="shared" si="39"/>
        <v>600000</v>
      </c>
    </row>
    <row r="120" spans="1:17" s="10" customFormat="1" ht="112.5">
      <c r="A120" s="39" t="s">
        <v>37</v>
      </c>
      <c r="B120" s="39"/>
      <c r="C120" s="39"/>
      <c r="D120" s="38" t="s">
        <v>38</v>
      </c>
      <c r="E120" s="61">
        <f>E121</f>
        <v>5650947</v>
      </c>
      <c r="F120" s="61">
        <f t="shared" ref="F120:P120" si="42">F121</f>
        <v>5650947</v>
      </c>
      <c r="G120" s="61">
        <f t="shared" si="42"/>
        <v>3546135</v>
      </c>
      <c r="H120" s="61">
        <f t="shared" si="42"/>
        <v>781</v>
      </c>
      <c r="I120" s="61">
        <f t="shared" si="42"/>
        <v>0</v>
      </c>
      <c r="J120" s="61">
        <f>+J121</f>
        <v>133379690.19999999</v>
      </c>
      <c r="K120" s="61">
        <f>+K121</f>
        <v>132094544.37</v>
      </c>
      <c r="L120" s="61">
        <f t="shared" si="42"/>
        <v>0</v>
      </c>
      <c r="M120" s="61">
        <f t="shared" si="42"/>
        <v>0</v>
      </c>
      <c r="N120" s="61">
        <f t="shared" si="42"/>
        <v>0</v>
      </c>
      <c r="O120" s="61">
        <f>+O121</f>
        <v>133379690.19999999</v>
      </c>
      <c r="P120" s="61">
        <f t="shared" si="42"/>
        <v>0</v>
      </c>
      <c r="Q120" s="61">
        <f t="shared" si="39"/>
        <v>139030637.19999999</v>
      </c>
    </row>
    <row r="121" spans="1:17" s="10" customFormat="1" ht="139.69999999999999" customHeight="1">
      <c r="A121" s="37" t="s">
        <v>39</v>
      </c>
      <c r="B121" s="37"/>
      <c r="C121" s="37"/>
      <c r="D121" s="38" t="s">
        <v>38</v>
      </c>
      <c r="E121" s="61">
        <f>SUM(E122:E133)</f>
        <v>5650947</v>
      </c>
      <c r="F121" s="61">
        <f t="shared" ref="F121:Q121" si="43">SUM(F122:F133)</f>
        <v>5650947</v>
      </c>
      <c r="G121" s="61">
        <f t="shared" si="43"/>
        <v>3546135</v>
      </c>
      <c r="H121" s="61">
        <f t="shared" si="43"/>
        <v>781</v>
      </c>
      <c r="I121" s="61">
        <f t="shared" si="43"/>
        <v>0</v>
      </c>
      <c r="J121" s="61">
        <f>SUM(J122:J133)</f>
        <v>133379690.19999999</v>
      </c>
      <c r="K121" s="61">
        <f>SUM(K122:K133)</f>
        <v>132094544.37</v>
      </c>
      <c r="L121" s="61">
        <f t="shared" si="43"/>
        <v>0</v>
      </c>
      <c r="M121" s="61">
        <f t="shared" si="43"/>
        <v>0</v>
      </c>
      <c r="N121" s="61">
        <f t="shared" si="43"/>
        <v>0</v>
      </c>
      <c r="O121" s="61">
        <f t="shared" si="43"/>
        <v>133379690.19999999</v>
      </c>
      <c r="P121" s="61">
        <f t="shared" si="43"/>
        <v>0</v>
      </c>
      <c r="Q121" s="61">
        <f t="shared" si="43"/>
        <v>139030637.19999999</v>
      </c>
    </row>
    <row r="122" spans="1:17" s="10" customFormat="1" ht="207" customHeight="1">
      <c r="A122" s="32" t="s">
        <v>341</v>
      </c>
      <c r="B122" s="32" t="s">
        <v>114</v>
      </c>
      <c r="C122" s="32" t="s">
        <v>54</v>
      </c>
      <c r="D122" s="33" t="s">
        <v>305</v>
      </c>
      <c r="E122" s="62">
        <f>F122+I122</f>
        <v>4794833</v>
      </c>
      <c r="F122" s="62">
        <v>4794833</v>
      </c>
      <c r="G122" s="62">
        <v>3546135</v>
      </c>
      <c r="H122" s="62">
        <v>781</v>
      </c>
      <c r="I122" s="62"/>
      <c r="J122" s="62">
        <f t="shared" ref="J122:J133" si="44">+L122+O122</f>
        <v>0</v>
      </c>
      <c r="K122" s="62"/>
      <c r="L122" s="62"/>
      <c r="M122" s="62"/>
      <c r="N122" s="62"/>
      <c r="O122" s="62"/>
      <c r="P122" s="62"/>
      <c r="Q122" s="61">
        <f t="shared" si="39"/>
        <v>4794833</v>
      </c>
    </row>
    <row r="123" spans="1:17" s="10" customFormat="1" ht="222" customHeight="1">
      <c r="A123" s="32" t="s">
        <v>433</v>
      </c>
      <c r="B123" s="32" t="s">
        <v>120</v>
      </c>
      <c r="C123" s="32" t="s">
        <v>121</v>
      </c>
      <c r="D123" s="68" t="s">
        <v>398</v>
      </c>
      <c r="E123" s="62">
        <f>F123+I123</f>
        <v>856114</v>
      </c>
      <c r="F123" s="62">
        <v>856114</v>
      </c>
      <c r="G123" s="62"/>
      <c r="H123" s="62"/>
      <c r="I123" s="62"/>
      <c r="J123" s="62">
        <f t="shared" si="44"/>
        <v>0</v>
      </c>
      <c r="K123" s="62"/>
      <c r="L123" s="62"/>
      <c r="M123" s="62"/>
      <c r="N123" s="62"/>
      <c r="O123" s="62"/>
      <c r="P123" s="62"/>
      <c r="Q123" s="61">
        <f t="shared" si="39"/>
        <v>856114</v>
      </c>
    </row>
    <row r="124" spans="1:17" s="10" customFormat="1" ht="138.75" customHeight="1">
      <c r="A124" s="32" t="s">
        <v>415</v>
      </c>
      <c r="B124" s="32" t="s">
        <v>406</v>
      </c>
      <c r="C124" s="32" t="s">
        <v>344</v>
      </c>
      <c r="D124" s="73" t="s">
        <v>416</v>
      </c>
      <c r="E124" s="62"/>
      <c r="F124" s="62"/>
      <c r="G124" s="62"/>
      <c r="H124" s="62"/>
      <c r="I124" s="62"/>
      <c r="J124" s="62">
        <f t="shared" si="44"/>
        <v>1522199.92</v>
      </c>
      <c r="K124" s="62">
        <v>1522199.92</v>
      </c>
      <c r="L124" s="62"/>
      <c r="M124" s="62"/>
      <c r="N124" s="62"/>
      <c r="O124" s="62">
        <v>1522199.92</v>
      </c>
      <c r="P124" s="62"/>
      <c r="Q124" s="61">
        <f t="shared" si="39"/>
        <v>1522199.92</v>
      </c>
    </row>
    <row r="125" spans="1:17" s="10" customFormat="1" ht="138.75" customHeight="1">
      <c r="A125" s="32" t="s">
        <v>417</v>
      </c>
      <c r="B125" s="32" t="s">
        <v>418</v>
      </c>
      <c r="C125" s="32" t="s">
        <v>344</v>
      </c>
      <c r="D125" s="70" t="s">
        <v>419</v>
      </c>
      <c r="E125" s="62"/>
      <c r="F125" s="62"/>
      <c r="G125" s="62"/>
      <c r="H125" s="62"/>
      <c r="I125" s="62"/>
      <c r="J125" s="62">
        <f t="shared" si="44"/>
        <v>6233849.8499999996</v>
      </c>
      <c r="K125" s="62">
        <f>6111771.87+48362.26+100000-26284.28</f>
        <v>6233849.8499999996</v>
      </c>
      <c r="L125" s="62"/>
      <c r="M125" s="62"/>
      <c r="N125" s="62"/>
      <c r="O125" s="62">
        <f>6111771.87+48362.26+100000-26284.28</f>
        <v>6233849.8499999996</v>
      </c>
      <c r="P125" s="62"/>
      <c r="Q125" s="61">
        <f t="shared" si="39"/>
        <v>6233849.8499999996</v>
      </c>
    </row>
    <row r="126" spans="1:17" s="10" customFormat="1" ht="207" customHeight="1">
      <c r="A126" s="32" t="s">
        <v>390</v>
      </c>
      <c r="B126" s="32" t="s">
        <v>391</v>
      </c>
      <c r="C126" s="32" t="s">
        <v>344</v>
      </c>
      <c r="D126" s="33" t="s">
        <v>393</v>
      </c>
      <c r="E126" s="62"/>
      <c r="F126" s="62"/>
      <c r="G126" s="62"/>
      <c r="H126" s="62"/>
      <c r="I126" s="62"/>
      <c r="J126" s="62">
        <f t="shared" si="44"/>
        <v>138236.84</v>
      </c>
      <c r="K126" s="62">
        <v>138236.84</v>
      </c>
      <c r="L126" s="62"/>
      <c r="M126" s="62"/>
      <c r="N126" s="62"/>
      <c r="O126" s="62">
        <v>138236.84</v>
      </c>
      <c r="P126" s="62"/>
      <c r="Q126" s="61">
        <f t="shared" si="39"/>
        <v>138236.84</v>
      </c>
    </row>
    <row r="127" spans="1:17" s="10" customFormat="1" ht="108" customHeight="1">
      <c r="A127" s="32" t="s">
        <v>346</v>
      </c>
      <c r="B127" s="32" t="s">
        <v>347</v>
      </c>
      <c r="C127" s="32" t="s">
        <v>344</v>
      </c>
      <c r="D127" s="33" t="s">
        <v>360</v>
      </c>
      <c r="E127" s="62">
        <f t="shared" ref="E127:E131" si="45">F127+I127</f>
        <v>0</v>
      </c>
      <c r="F127" s="61"/>
      <c r="G127" s="61"/>
      <c r="H127" s="61"/>
      <c r="I127" s="61"/>
      <c r="J127" s="62">
        <f t="shared" si="44"/>
        <v>15344693.6</v>
      </c>
      <c r="K127" s="62">
        <f>15424846.81-80153.21</f>
        <v>15344693.6</v>
      </c>
      <c r="L127" s="61"/>
      <c r="M127" s="61"/>
      <c r="N127" s="61"/>
      <c r="O127" s="62">
        <f>15424846.81-80153.21</f>
        <v>15344693.6</v>
      </c>
      <c r="P127" s="61"/>
      <c r="Q127" s="61">
        <f t="shared" si="39"/>
        <v>15344693.6</v>
      </c>
    </row>
    <row r="128" spans="1:17" s="10" customFormat="1" ht="108" customHeight="1">
      <c r="A128" s="32" t="s">
        <v>421</v>
      </c>
      <c r="B128" s="32" t="s">
        <v>422</v>
      </c>
      <c r="C128" s="32" t="s">
        <v>344</v>
      </c>
      <c r="D128" s="33" t="s">
        <v>420</v>
      </c>
      <c r="E128" s="62"/>
      <c r="F128" s="61"/>
      <c r="G128" s="61"/>
      <c r="H128" s="61"/>
      <c r="I128" s="61"/>
      <c r="J128" s="62">
        <f t="shared" si="44"/>
        <v>1364927.4700000007</v>
      </c>
      <c r="K128" s="62">
        <f>18546341.85-18466560.21</f>
        <v>79781.640000000596</v>
      </c>
      <c r="L128" s="61"/>
      <c r="M128" s="61"/>
      <c r="N128" s="61"/>
      <c r="O128" s="62">
        <f>18546341.85-18466560.21+1285145.83</f>
        <v>1364927.4700000007</v>
      </c>
      <c r="P128" s="61"/>
      <c r="Q128" s="61">
        <f t="shared" si="39"/>
        <v>1364927.4700000007</v>
      </c>
    </row>
    <row r="129" spans="1:17" s="10" customFormat="1" ht="186">
      <c r="A129" s="32" t="s">
        <v>429</v>
      </c>
      <c r="B129" s="32" t="s">
        <v>430</v>
      </c>
      <c r="C129" s="32" t="s">
        <v>77</v>
      </c>
      <c r="D129" s="33" t="s">
        <v>432</v>
      </c>
      <c r="E129" s="62"/>
      <c r="F129" s="61"/>
      <c r="G129" s="61"/>
      <c r="H129" s="61"/>
      <c r="I129" s="61"/>
      <c r="J129" s="62">
        <f t="shared" si="44"/>
        <v>8331750.4900000002</v>
      </c>
      <c r="K129" s="62">
        <f>6000000+1386890+26284.28+838423+80153.21</f>
        <v>8331750.4900000002</v>
      </c>
      <c r="L129" s="61"/>
      <c r="M129" s="61"/>
      <c r="N129" s="61"/>
      <c r="O129" s="62">
        <f>6000000+1386890+26284.28+838423+80153.21</f>
        <v>8331750.4900000002</v>
      </c>
      <c r="P129" s="61"/>
      <c r="Q129" s="61">
        <f t="shared" si="39"/>
        <v>8331750.4900000002</v>
      </c>
    </row>
    <row r="130" spans="1:17" s="10" customFormat="1" ht="130.5" customHeight="1">
      <c r="A130" s="32" t="s">
        <v>426</v>
      </c>
      <c r="B130" s="32" t="s">
        <v>427</v>
      </c>
      <c r="C130" s="32" t="s">
        <v>77</v>
      </c>
      <c r="D130" s="33" t="s">
        <v>428</v>
      </c>
      <c r="E130" s="62"/>
      <c r="F130" s="61"/>
      <c r="G130" s="61"/>
      <c r="H130" s="61"/>
      <c r="I130" s="61"/>
      <c r="J130" s="62">
        <f t="shared" si="44"/>
        <v>31080451.289999999</v>
      </c>
      <c r="K130" s="62">
        <f>12613891.08+18466560.21</f>
        <v>31080451.289999999</v>
      </c>
      <c r="L130" s="61"/>
      <c r="M130" s="61"/>
      <c r="N130" s="61"/>
      <c r="O130" s="62">
        <f>12613891.08+18466560.21</f>
        <v>31080451.289999999</v>
      </c>
      <c r="P130" s="61"/>
      <c r="Q130" s="61">
        <f t="shared" si="39"/>
        <v>31080451.289999999</v>
      </c>
    </row>
    <row r="131" spans="1:17" s="10" customFormat="1" ht="210" customHeight="1">
      <c r="A131" s="32" t="s">
        <v>367</v>
      </c>
      <c r="B131" s="32" t="s">
        <v>275</v>
      </c>
      <c r="C131" s="32" t="s">
        <v>83</v>
      </c>
      <c r="D131" s="33" t="s">
        <v>276</v>
      </c>
      <c r="E131" s="62">
        <f t="shared" si="45"/>
        <v>0</v>
      </c>
      <c r="F131" s="61"/>
      <c r="G131" s="61"/>
      <c r="H131" s="61"/>
      <c r="I131" s="61"/>
      <c r="J131" s="62">
        <f t="shared" si="44"/>
        <v>18565926.670000002</v>
      </c>
      <c r="K131" s="62">
        <f>28319047.36-10146120.69+393000</f>
        <v>18565926.670000002</v>
      </c>
      <c r="L131" s="61"/>
      <c r="M131" s="61"/>
      <c r="N131" s="61"/>
      <c r="O131" s="62">
        <f>28319047.36-10146120.69+393000</f>
        <v>18565926.670000002</v>
      </c>
      <c r="P131" s="61"/>
      <c r="Q131" s="61">
        <f t="shared" si="39"/>
        <v>18565926.670000002</v>
      </c>
    </row>
    <row r="132" spans="1:17" s="10" customFormat="1" ht="175.7" customHeight="1">
      <c r="A132" s="32" t="s">
        <v>392</v>
      </c>
      <c r="B132" s="32" t="s">
        <v>94</v>
      </c>
      <c r="C132" s="71" t="s">
        <v>95</v>
      </c>
      <c r="D132" s="72" t="s">
        <v>394</v>
      </c>
      <c r="E132" s="62"/>
      <c r="F132" s="61"/>
      <c r="G132" s="61"/>
      <c r="H132" s="61"/>
      <c r="I132" s="61"/>
      <c r="J132" s="62">
        <f t="shared" si="44"/>
        <v>727857.07</v>
      </c>
      <c r="K132" s="62">
        <v>727857.07</v>
      </c>
      <c r="L132" s="61"/>
      <c r="M132" s="61"/>
      <c r="N132" s="61"/>
      <c r="O132" s="62">
        <v>727857.07</v>
      </c>
      <c r="P132" s="61"/>
      <c r="Q132" s="61">
        <f t="shared" si="39"/>
        <v>727857.07</v>
      </c>
    </row>
    <row r="133" spans="1:17" s="10" customFormat="1" ht="175.7" customHeight="1">
      <c r="A133" s="32" t="s">
        <v>431</v>
      </c>
      <c r="B133" s="32" t="s">
        <v>142</v>
      </c>
      <c r="C133" s="71" t="s">
        <v>61</v>
      </c>
      <c r="D133" s="72" t="s">
        <v>143</v>
      </c>
      <c r="E133" s="62"/>
      <c r="F133" s="61"/>
      <c r="G133" s="61"/>
      <c r="H133" s="61"/>
      <c r="I133" s="61"/>
      <c r="J133" s="62">
        <f t="shared" si="44"/>
        <v>50069797</v>
      </c>
      <c r="K133" s="62">
        <v>50069797</v>
      </c>
      <c r="L133" s="61"/>
      <c r="M133" s="61"/>
      <c r="N133" s="61"/>
      <c r="O133" s="62">
        <v>50069797</v>
      </c>
      <c r="P133" s="61"/>
      <c r="Q133" s="61">
        <f t="shared" si="39"/>
        <v>50069797</v>
      </c>
    </row>
    <row r="134" spans="1:17" s="10" customFormat="1" ht="135" customHeight="1">
      <c r="A134" s="37" t="s">
        <v>40</v>
      </c>
      <c r="B134" s="37"/>
      <c r="C134" s="37"/>
      <c r="D134" s="38" t="s">
        <v>41</v>
      </c>
      <c r="E134" s="61">
        <f>E135</f>
        <v>12435515</v>
      </c>
      <c r="F134" s="61">
        <f t="shared" ref="F134:P134" si="46">F135</f>
        <v>12136515</v>
      </c>
      <c r="G134" s="61">
        <f t="shared" si="46"/>
        <v>8716738</v>
      </c>
      <c r="H134" s="61">
        <f t="shared" si="46"/>
        <v>203784</v>
      </c>
      <c r="I134" s="61">
        <f t="shared" si="46"/>
        <v>299000</v>
      </c>
      <c r="J134" s="61">
        <f t="shared" si="46"/>
        <v>578000</v>
      </c>
      <c r="K134" s="61">
        <f t="shared" si="46"/>
        <v>78000</v>
      </c>
      <c r="L134" s="61">
        <f t="shared" si="46"/>
        <v>0</v>
      </c>
      <c r="M134" s="61">
        <f t="shared" si="46"/>
        <v>0</v>
      </c>
      <c r="N134" s="61">
        <f t="shared" si="46"/>
        <v>0</v>
      </c>
      <c r="O134" s="61">
        <f t="shared" si="46"/>
        <v>578000</v>
      </c>
      <c r="P134" s="61">
        <f t="shared" si="46"/>
        <v>0</v>
      </c>
      <c r="Q134" s="61">
        <f t="shared" si="39"/>
        <v>13013515</v>
      </c>
    </row>
    <row r="135" spans="1:17" s="10" customFormat="1" ht="145.5" customHeight="1">
      <c r="A135" s="37" t="s">
        <v>42</v>
      </c>
      <c r="B135" s="37"/>
      <c r="C135" s="37"/>
      <c r="D135" s="38" t="s">
        <v>41</v>
      </c>
      <c r="E135" s="61">
        <f>SUM(E136:E140)</f>
        <v>12435515</v>
      </c>
      <c r="F135" s="61">
        <f t="shared" ref="F135:P135" si="47">SUM(F136:F140)</f>
        <v>12136515</v>
      </c>
      <c r="G135" s="61">
        <f t="shared" si="47"/>
        <v>8716738</v>
      </c>
      <c r="H135" s="61">
        <f t="shared" si="47"/>
        <v>203784</v>
      </c>
      <c r="I135" s="61">
        <f t="shared" si="47"/>
        <v>299000</v>
      </c>
      <c r="J135" s="61">
        <f t="shared" si="47"/>
        <v>578000</v>
      </c>
      <c r="K135" s="61">
        <f t="shared" si="47"/>
        <v>78000</v>
      </c>
      <c r="L135" s="61">
        <f t="shared" si="47"/>
        <v>0</v>
      </c>
      <c r="M135" s="61">
        <f t="shared" si="47"/>
        <v>0</v>
      </c>
      <c r="N135" s="61">
        <f t="shared" si="47"/>
        <v>0</v>
      </c>
      <c r="O135" s="61">
        <f t="shared" si="47"/>
        <v>578000</v>
      </c>
      <c r="P135" s="61">
        <f t="shared" si="47"/>
        <v>0</v>
      </c>
      <c r="Q135" s="61">
        <f t="shared" si="39"/>
        <v>13013515</v>
      </c>
    </row>
    <row r="136" spans="1:17" s="31" customFormat="1" ht="267.75" customHeight="1">
      <c r="A136" s="32" t="s">
        <v>290</v>
      </c>
      <c r="B136" s="32" t="s">
        <v>114</v>
      </c>
      <c r="C136" s="32" t="s">
        <v>54</v>
      </c>
      <c r="D136" s="33" t="s">
        <v>305</v>
      </c>
      <c r="E136" s="62">
        <f>F136+I136</f>
        <v>11136515</v>
      </c>
      <c r="F136" s="62">
        <v>11136515</v>
      </c>
      <c r="G136" s="62">
        <v>8716738</v>
      </c>
      <c r="H136" s="62">
        <v>203784</v>
      </c>
      <c r="I136" s="62"/>
      <c r="J136" s="62">
        <f>L136+O136</f>
        <v>0</v>
      </c>
      <c r="K136" s="62"/>
      <c r="L136" s="62"/>
      <c r="M136" s="62"/>
      <c r="N136" s="62"/>
      <c r="O136" s="62"/>
      <c r="P136" s="62"/>
      <c r="Q136" s="61">
        <f t="shared" si="39"/>
        <v>11136515</v>
      </c>
    </row>
    <row r="137" spans="1:17" s="31" customFormat="1" ht="111.75" customHeight="1">
      <c r="A137" s="32" t="s">
        <v>306</v>
      </c>
      <c r="B137" s="32" t="s">
        <v>220</v>
      </c>
      <c r="C137" s="32" t="s">
        <v>217</v>
      </c>
      <c r="D137" s="33" t="s">
        <v>221</v>
      </c>
      <c r="E137" s="62">
        <f>F137+I137</f>
        <v>50000</v>
      </c>
      <c r="F137" s="62">
        <v>50000</v>
      </c>
      <c r="G137" s="62"/>
      <c r="H137" s="62"/>
      <c r="I137" s="62"/>
      <c r="J137" s="62">
        <f t="shared" ref="J137" si="48">L137+O137</f>
        <v>50000</v>
      </c>
      <c r="K137" s="62">
        <v>50000</v>
      </c>
      <c r="L137" s="62"/>
      <c r="M137" s="62"/>
      <c r="N137" s="62"/>
      <c r="O137" s="62">
        <v>50000</v>
      </c>
      <c r="P137" s="62"/>
      <c r="Q137" s="61">
        <f t="shared" si="39"/>
        <v>100000</v>
      </c>
    </row>
    <row r="138" spans="1:17" s="31" customFormat="1" ht="111.75" customHeight="1">
      <c r="A138" s="32" t="s">
        <v>386</v>
      </c>
      <c r="B138" s="32" t="s">
        <v>387</v>
      </c>
      <c r="C138" s="32" t="s">
        <v>389</v>
      </c>
      <c r="D138" s="33" t="s">
        <v>388</v>
      </c>
      <c r="E138" s="62">
        <f>F138+I138</f>
        <v>299000</v>
      </c>
      <c r="F138" s="62"/>
      <c r="G138" s="62"/>
      <c r="H138" s="62"/>
      <c r="I138" s="62">
        <v>299000</v>
      </c>
      <c r="J138" s="62">
        <f>L138+O138</f>
        <v>500000</v>
      </c>
      <c r="K138" s="62"/>
      <c r="L138" s="62"/>
      <c r="M138" s="62"/>
      <c r="N138" s="62"/>
      <c r="O138" s="62">
        <v>500000</v>
      </c>
      <c r="P138" s="62"/>
      <c r="Q138" s="61">
        <f t="shared" si="39"/>
        <v>799000</v>
      </c>
    </row>
    <row r="139" spans="1:17" s="31" customFormat="1" ht="255.75" customHeight="1">
      <c r="A139" s="32" t="s">
        <v>412</v>
      </c>
      <c r="B139" s="32" t="s">
        <v>413</v>
      </c>
      <c r="C139" s="32" t="s">
        <v>77</v>
      </c>
      <c r="D139" s="33" t="s">
        <v>414</v>
      </c>
      <c r="E139" s="62"/>
      <c r="F139" s="62"/>
      <c r="G139" s="62"/>
      <c r="H139" s="62"/>
      <c r="I139" s="62"/>
      <c r="J139" s="62">
        <f>L139+O139</f>
        <v>28000</v>
      </c>
      <c r="K139" s="62">
        <v>28000</v>
      </c>
      <c r="L139" s="62"/>
      <c r="M139" s="62"/>
      <c r="N139" s="62"/>
      <c r="O139" s="62">
        <v>28000</v>
      </c>
      <c r="P139" s="62"/>
      <c r="Q139" s="61">
        <f>+E139+J139</f>
        <v>28000</v>
      </c>
    </row>
    <row r="140" spans="1:17" s="31" customFormat="1" ht="162" customHeight="1">
      <c r="A140" s="74" t="s">
        <v>291</v>
      </c>
      <c r="B140" s="74" t="s">
        <v>101</v>
      </c>
      <c r="C140" s="34" t="s">
        <v>77</v>
      </c>
      <c r="D140" s="33" t="s">
        <v>292</v>
      </c>
      <c r="E140" s="62">
        <f>F140+I140</f>
        <v>950000</v>
      </c>
      <c r="F140" s="62">
        <v>950000</v>
      </c>
      <c r="G140" s="62"/>
      <c r="H140" s="62"/>
      <c r="I140" s="62"/>
      <c r="J140" s="62">
        <f>L140+O140</f>
        <v>0</v>
      </c>
      <c r="K140" s="62"/>
      <c r="L140" s="62"/>
      <c r="M140" s="62"/>
      <c r="N140" s="62"/>
      <c r="O140" s="62"/>
      <c r="P140" s="62"/>
      <c r="Q140" s="61">
        <f t="shared" si="39"/>
        <v>950000</v>
      </c>
    </row>
    <row r="141" spans="1:17" s="31" customFormat="1" ht="168" customHeight="1">
      <c r="A141" s="37">
        <v>190000</v>
      </c>
      <c r="B141" s="37"/>
      <c r="C141" s="37"/>
      <c r="D141" s="38" t="s">
        <v>310</v>
      </c>
      <c r="E141" s="61">
        <f>E142</f>
        <v>249374447</v>
      </c>
      <c r="F141" s="61">
        <f t="shared" ref="F141:P141" si="49">F142</f>
        <v>4708111</v>
      </c>
      <c r="G141" s="61">
        <f t="shared" si="49"/>
        <v>2053642</v>
      </c>
      <c r="H141" s="61">
        <f t="shared" si="49"/>
        <v>0</v>
      </c>
      <c r="I141" s="61">
        <f t="shared" si="49"/>
        <v>244666336</v>
      </c>
      <c r="J141" s="61">
        <f t="shared" si="49"/>
        <v>3681670.02</v>
      </c>
      <c r="K141" s="61">
        <f t="shared" si="49"/>
        <v>1482670.02</v>
      </c>
      <c r="L141" s="61">
        <f t="shared" si="49"/>
        <v>0</v>
      </c>
      <c r="M141" s="61">
        <f t="shared" si="49"/>
        <v>0</v>
      </c>
      <c r="N141" s="61">
        <f t="shared" si="49"/>
        <v>0</v>
      </c>
      <c r="O141" s="61">
        <f t="shared" si="49"/>
        <v>3681670.02</v>
      </c>
      <c r="P141" s="61">
        <f t="shared" si="49"/>
        <v>0</v>
      </c>
      <c r="Q141" s="61">
        <f t="shared" si="39"/>
        <v>253056117.02000001</v>
      </c>
    </row>
    <row r="142" spans="1:17" s="31" customFormat="1" ht="134.25" customHeight="1">
      <c r="A142" s="37">
        <v>191000</v>
      </c>
      <c r="B142" s="37"/>
      <c r="C142" s="37"/>
      <c r="D142" s="38" t="s">
        <v>310</v>
      </c>
      <c r="E142" s="61">
        <f t="shared" ref="E142:P142" si="50">SUM(E143:E151)</f>
        <v>249374447</v>
      </c>
      <c r="F142" s="61">
        <f t="shared" si="50"/>
        <v>4708111</v>
      </c>
      <c r="G142" s="61">
        <f t="shared" si="50"/>
        <v>2053642</v>
      </c>
      <c r="H142" s="61">
        <f t="shared" si="50"/>
        <v>0</v>
      </c>
      <c r="I142" s="61">
        <f t="shared" si="50"/>
        <v>244666336</v>
      </c>
      <c r="J142" s="61">
        <f t="shared" si="50"/>
        <v>3681670.02</v>
      </c>
      <c r="K142" s="61">
        <f t="shared" si="50"/>
        <v>1482670.02</v>
      </c>
      <c r="L142" s="61">
        <f t="shared" si="50"/>
        <v>0</v>
      </c>
      <c r="M142" s="61">
        <f t="shared" si="50"/>
        <v>0</v>
      </c>
      <c r="N142" s="61">
        <f t="shared" si="50"/>
        <v>0</v>
      </c>
      <c r="O142" s="61">
        <f t="shared" si="50"/>
        <v>3681670.02</v>
      </c>
      <c r="P142" s="61">
        <f t="shared" si="50"/>
        <v>0</v>
      </c>
      <c r="Q142" s="61">
        <f t="shared" si="39"/>
        <v>253056117.02000001</v>
      </c>
    </row>
    <row r="143" spans="1:17" s="31" customFormat="1" ht="245.25" customHeight="1">
      <c r="A143" s="35" t="s">
        <v>319</v>
      </c>
      <c r="B143" s="35" t="s">
        <v>114</v>
      </c>
      <c r="C143" s="32" t="s">
        <v>54</v>
      </c>
      <c r="D143" s="33" t="s">
        <v>305</v>
      </c>
      <c r="E143" s="62">
        <f t="shared" ref="E143:E149" si="51">F143+I143</f>
        <v>2590183</v>
      </c>
      <c r="F143" s="62">
        <v>2590183</v>
      </c>
      <c r="G143" s="62">
        <v>2053642</v>
      </c>
      <c r="H143" s="62"/>
      <c r="I143" s="62"/>
      <c r="J143" s="62">
        <f>L143+O143</f>
        <v>0</v>
      </c>
      <c r="K143" s="62"/>
      <c r="L143" s="62"/>
      <c r="M143" s="62"/>
      <c r="N143" s="62"/>
      <c r="O143" s="62"/>
      <c r="P143" s="62"/>
      <c r="Q143" s="61">
        <f t="shared" si="39"/>
        <v>2590183</v>
      </c>
    </row>
    <row r="144" spans="1:17" s="31" customFormat="1" ht="204" customHeight="1">
      <c r="A144" s="35">
        <v>1910180</v>
      </c>
      <c r="B144" s="60" t="s">
        <v>61</v>
      </c>
      <c r="C144" s="32" t="s">
        <v>62</v>
      </c>
      <c r="D144" s="33" t="s">
        <v>63</v>
      </c>
      <c r="E144" s="62">
        <f t="shared" si="51"/>
        <v>35472</v>
      </c>
      <c r="F144" s="62">
        <v>35472</v>
      </c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1">
        <f t="shared" si="39"/>
        <v>35472</v>
      </c>
    </row>
    <row r="145" spans="1:17" s="31" customFormat="1" ht="204.75" customHeight="1">
      <c r="A145" s="32" t="s">
        <v>348</v>
      </c>
      <c r="B145" s="35" t="s">
        <v>64</v>
      </c>
      <c r="C145" s="32" t="s">
        <v>65</v>
      </c>
      <c r="D145" s="33" t="s">
        <v>66</v>
      </c>
      <c r="E145" s="62">
        <f t="shared" si="51"/>
        <v>2082456</v>
      </c>
      <c r="F145" s="62">
        <v>2082456</v>
      </c>
      <c r="G145" s="62"/>
      <c r="H145" s="62"/>
      <c r="I145" s="62"/>
      <c r="J145" s="62">
        <f>L145+O145</f>
        <v>0</v>
      </c>
      <c r="K145" s="62"/>
      <c r="L145" s="62"/>
      <c r="M145" s="62"/>
      <c r="N145" s="62"/>
      <c r="O145" s="62"/>
      <c r="P145" s="62"/>
      <c r="Q145" s="61">
        <f t="shared" si="39"/>
        <v>2082456</v>
      </c>
    </row>
    <row r="146" spans="1:17" s="31" customFormat="1" ht="181.5" customHeight="1">
      <c r="A146" s="32" t="s">
        <v>407</v>
      </c>
      <c r="B146" s="35">
        <v>7370</v>
      </c>
      <c r="C146" s="32" t="s">
        <v>77</v>
      </c>
      <c r="D146" s="28" t="s">
        <v>78</v>
      </c>
      <c r="E146" s="62"/>
      <c r="F146" s="62"/>
      <c r="G146" s="62"/>
      <c r="H146" s="62"/>
      <c r="I146" s="62"/>
      <c r="J146" s="62">
        <f>+O146</f>
        <v>750000</v>
      </c>
      <c r="K146" s="62">
        <v>750000</v>
      </c>
      <c r="L146" s="62"/>
      <c r="M146" s="62"/>
      <c r="N146" s="62"/>
      <c r="O146" s="62">
        <v>750000</v>
      </c>
      <c r="P146" s="62"/>
      <c r="Q146" s="61">
        <f>E146+J146</f>
        <v>750000</v>
      </c>
    </row>
    <row r="147" spans="1:17" s="31" customFormat="1" ht="104.25" customHeight="1">
      <c r="A147" s="32" t="s">
        <v>313</v>
      </c>
      <c r="B147" s="35" t="s">
        <v>79</v>
      </c>
      <c r="C147" s="32" t="s">
        <v>80</v>
      </c>
      <c r="D147" s="28" t="s">
        <v>81</v>
      </c>
      <c r="E147" s="62">
        <f t="shared" si="51"/>
        <v>138420320</v>
      </c>
      <c r="F147" s="62"/>
      <c r="G147" s="62"/>
      <c r="H147" s="62"/>
      <c r="I147" s="62">
        <v>138420320</v>
      </c>
      <c r="J147" s="62">
        <f t="shared" ref="J147:J148" si="52">+O147</f>
        <v>0</v>
      </c>
      <c r="K147" s="62"/>
      <c r="L147" s="62"/>
      <c r="M147" s="62"/>
      <c r="N147" s="62"/>
      <c r="O147" s="62"/>
      <c r="P147" s="62"/>
      <c r="Q147" s="61">
        <f t="shared" si="39"/>
        <v>138420320</v>
      </c>
    </row>
    <row r="148" spans="1:17" s="31" customFormat="1" ht="93">
      <c r="A148" s="32" t="s">
        <v>314</v>
      </c>
      <c r="B148" s="35" t="s">
        <v>82</v>
      </c>
      <c r="C148" s="32" t="s">
        <v>83</v>
      </c>
      <c r="D148" s="28" t="s">
        <v>84</v>
      </c>
      <c r="E148" s="62">
        <f t="shared" si="51"/>
        <v>10874216</v>
      </c>
      <c r="F148" s="62"/>
      <c r="G148" s="62"/>
      <c r="H148" s="62"/>
      <c r="I148" s="62">
        <v>10874216</v>
      </c>
      <c r="J148" s="62">
        <f t="shared" si="52"/>
        <v>48400</v>
      </c>
      <c r="K148" s="62">
        <v>48400</v>
      </c>
      <c r="L148" s="62"/>
      <c r="M148" s="62"/>
      <c r="N148" s="62"/>
      <c r="O148" s="62">
        <v>48400</v>
      </c>
      <c r="P148" s="62"/>
      <c r="Q148" s="61">
        <f t="shared" si="39"/>
        <v>10922616</v>
      </c>
    </row>
    <row r="149" spans="1:17" s="31" customFormat="1" ht="224.25" customHeight="1">
      <c r="A149" s="67" t="s">
        <v>315</v>
      </c>
      <c r="B149" s="67" t="s">
        <v>275</v>
      </c>
      <c r="C149" s="67" t="s">
        <v>83</v>
      </c>
      <c r="D149" s="28" t="s">
        <v>276</v>
      </c>
      <c r="E149" s="62">
        <f t="shared" si="51"/>
        <v>95371800</v>
      </c>
      <c r="F149" s="62"/>
      <c r="G149" s="62"/>
      <c r="H149" s="62"/>
      <c r="I149" s="62">
        <f>95321800+50000</f>
        <v>95371800</v>
      </c>
      <c r="J149" s="62">
        <f t="shared" ref="J149" si="53">+L149+O149</f>
        <v>0</v>
      </c>
      <c r="K149" s="62"/>
      <c r="L149" s="62"/>
      <c r="M149" s="62"/>
      <c r="N149" s="62"/>
      <c r="O149" s="62"/>
      <c r="P149" s="62"/>
      <c r="Q149" s="61">
        <f t="shared" si="39"/>
        <v>95371800</v>
      </c>
    </row>
    <row r="150" spans="1:17" s="31" customFormat="1" ht="224.25" customHeight="1">
      <c r="A150" s="32" t="s">
        <v>423</v>
      </c>
      <c r="B150" s="32" t="s">
        <v>342</v>
      </c>
      <c r="C150" s="32" t="s">
        <v>77</v>
      </c>
      <c r="D150" s="33" t="s">
        <v>411</v>
      </c>
      <c r="E150" s="62"/>
      <c r="F150" s="62"/>
      <c r="G150" s="62"/>
      <c r="H150" s="62"/>
      <c r="I150" s="62"/>
      <c r="J150" s="62">
        <f>+O150</f>
        <v>684270.02</v>
      </c>
      <c r="K150" s="62">
        <v>684270.02</v>
      </c>
      <c r="L150" s="62"/>
      <c r="M150" s="62"/>
      <c r="N150" s="62"/>
      <c r="O150" s="62">
        <v>684270.02</v>
      </c>
      <c r="P150" s="62"/>
      <c r="Q150" s="61">
        <f t="shared" si="39"/>
        <v>684270.02</v>
      </c>
    </row>
    <row r="151" spans="1:17" s="31" customFormat="1" ht="409.6" customHeight="1">
      <c r="A151" s="67" t="s">
        <v>316</v>
      </c>
      <c r="B151" s="67" t="s">
        <v>277</v>
      </c>
      <c r="C151" s="67" t="s">
        <v>77</v>
      </c>
      <c r="D151" s="28" t="s">
        <v>278</v>
      </c>
      <c r="E151" s="62">
        <f>F151+I151</f>
        <v>0</v>
      </c>
      <c r="F151" s="62"/>
      <c r="G151" s="62"/>
      <c r="H151" s="62"/>
      <c r="I151" s="62"/>
      <c r="J151" s="62">
        <f>L151+O151</f>
        <v>2199000</v>
      </c>
      <c r="K151" s="62"/>
      <c r="L151" s="62"/>
      <c r="M151" s="62"/>
      <c r="N151" s="62"/>
      <c r="O151" s="62">
        <v>2199000</v>
      </c>
      <c r="P151" s="62"/>
      <c r="Q151" s="61">
        <f t="shared" si="39"/>
        <v>2199000</v>
      </c>
    </row>
    <row r="152" spans="1:17" s="10" customFormat="1" ht="97.5" customHeight="1">
      <c r="A152" s="49" t="s">
        <v>350</v>
      </c>
      <c r="B152" s="49"/>
      <c r="C152" s="49"/>
      <c r="D152" s="38" t="s">
        <v>328</v>
      </c>
      <c r="E152" s="61">
        <f>E153</f>
        <v>6123642</v>
      </c>
      <c r="F152" s="61">
        <f t="shared" ref="F152:Q152" si="54">F153</f>
        <v>6123642</v>
      </c>
      <c r="G152" s="61">
        <f t="shared" si="54"/>
        <v>1613353</v>
      </c>
      <c r="H152" s="61">
        <f t="shared" si="54"/>
        <v>210464</v>
      </c>
      <c r="I152" s="61">
        <f t="shared" si="54"/>
        <v>0</v>
      </c>
      <c r="J152" s="61">
        <f t="shared" si="54"/>
        <v>0</v>
      </c>
      <c r="K152" s="61">
        <f t="shared" si="54"/>
        <v>0</v>
      </c>
      <c r="L152" s="61">
        <f t="shared" si="54"/>
        <v>0</v>
      </c>
      <c r="M152" s="61">
        <f t="shared" si="54"/>
        <v>0</v>
      </c>
      <c r="N152" s="61">
        <f t="shared" si="54"/>
        <v>0</v>
      </c>
      <c r="O152" s="61">
        <f t="shared" si="54"/>
        <v>0</v>
      </c>
      <c r="P152" s="61">
        <f t="shared" si="54"/>
        <v>0</v>
      </c>
      <c r="Q152" s="61">
        <f t="shared" si="54"/>
        <v>6123642</v>
      </c>
    </row>
    <row r="153" spans="1:17" s="45" customFormat="1" ht="117.95" customHeight="1">
      <c r="A153" s="43" t="s">
        <v>351</v>
      </c>
      <c r="B153" s="43"/>
      <c r="C153" s="43"/>
      <c r="D153" s="44" t="s">
        <v>328</v>
      </c>
      <c r="E153" s="64">
        <f t="shared" ref="E153:Q153" si="55">SUM(E154:E161)</f>
        <v>6123642</v>
      </c>
      <c r="F153" s="64">
        <f t="shared" si="55"/>
        <v>6123642</v>
      </c>
      <c r="G153" s="64">
        <f t="shared" si="55"/>
        <v>1613353</v>
      </c>
      <c r="H153" s="64">
        <f t="shared" si="55"/>
        <v>210464</v>
      </c>
      <c r="I153" s="64">
        <f t="shared" si="55"/>
        <v>0</v>
      </c>
      <c r="J153" s="64">
        <f t="shared" si="55"/>
        <v>0</v>
      </c>
      <c r="K153" s="64">
        <f t="shared" si="55"/>
        <v>0</v>
      </c>
      <c r="L153" s="64">
        <f t="shared" si="55"/>
        <v>0</v>
      </c>
      <c r="M153" s="64">
        <f t="shared" si="55"/>
        <v>0</v>
      </c>
      <c r="N153" s="64">
        <f t="shared" si="55"/>
        <v>0</v>
      </c>
      <c r="O153" s="64">
        <f t="shared" si="55"/>
        <v>0</v>
      </c>
      <c r="P153" s="64">
        <f t="shared" si="55"/>
        <v>0</v>
      </c>
      <c r="Q153" s="64">
        <f t="shared" si="55"/>
        <v>6123642</v>
      </c>
    </row>
    <row r="154" spans="1:17" s="31" customFormat="1" ht="186">
      <c r="A154" s="32" t="s">
        <v>352</v>
      </c>
      <c r="B154" s="32" t="s">
        <v>114</v>
      </c>
      <c r="C154" s="32" t="s">
        <v>54</v>
      </c>
      <c r="D154" s="33" t="s">
        <v>305</v>
      </c>
      <c r="E154" s="62">
        <f t="shared" ref="E154:E158" si="56">F154+I154</f>
        <v>1911912</v>
      </c>
      <c r="F154" s="62">
        <v>1911912</v>
      </c>
      <c r="G154" s="62">
        <v>1346196</v>
      </c>
      <c r="H154" s="62">
        <v>100173</v>
      </c>
      <c r="I154" s="62"/>
      <c r="J154" s="62"/>
      <c r="K154" s="62"/>
      <c r="L154" s="62"/>
      <c r="M154" s="62"/>
      <c r="N154" s="62"/>
      <c r="O154" s="62"/>
      <c r="P154" s="62"/>
      <c r="Q154" s="61">
        <f t="shared" ref="Q154:Q161" si="57">+E154+J154</f>
        <v>1911912</v>
      </c>
    </row>
    <row r="155" spans="1:17" s="31" customFormat="1" ht="69.75">
      <c r="A155" s="32" t="s">
        <v>353</v>
      </c>
      <c r="B155" s="32" t="s">
        <v>61</v>
      </c>
      <c r="C155" s="25" t="s">
        <v>62</v>
      </c>
      <c r="D155" s="33" t="s">
        <v>63</v>
      </c>
      <c r="E155" s="62">
        <f t="shared" si="56"/>
        <v>28222</v>
      </c>
      <c r="F155" s="62">
        <v>28222</v>
      </c>
      <c r="G155" s="62"/>
      <c r="H155" s="62"/>
      <c r="I155" s="62"/>
      <c r="J155" s="62">
        <f>L155+O155</f>
        <v>0</v>
      </c>
      <c r="K155" s="62"/>
      <c r="L155" s="62"/>
      <c r="M155" s="62"/>
      <c r="N155" s="62"/>
      <c r="O155" s="62"/>
      <c r="P155" s="62"/>
      <c r="Q155" s="61">
        <f t="shared" si="57"/>
        <v>28222</v>
      </c>
    </row>
    <row r="156" spans="1:17" s="31" customFormat="1" ht="93">
      <c r="A156" s="32" t="s">
        <v>354</v>
      </c>
      <c r="B156" s="32" t="s">
        <v>198</v>
      </c>
      <c r="C156" s="32" t="s">
        <v>124</v>
      </c>
      <c r="D156" s="33" t="s">
        <v>199</v>
      </c>
      <c r="E156" s="62">
        <f t="shared" si="56"/>
        <v>452300</v>
      </c>
      <c r="F156" s="62">
        <v>452300</v>
      </c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1">
        <f t="shared" si="57"/>
        <v>452300</v>
      </c>
    </row>
    <row r="157" spans="1:17" s="31" customFormat="1" ht="64.5" customHeight="1">
      <c r="A157" s="32" t="s">
        <v>355</v>
      </c>
      <c r="B157" s="32" t="s">
        <v>204</v>
      </c>
      <c r="C157" s="32" t="s">
        <v>205</v>
      </c>
      <c r="D157" s="33" t="s">
        <v>206</v>
      </c>
      <c r="E157" s="62">
        <f t="shared" si="56"/>
        <v>123778</v>
      </c>
      <c r="F157" s="62">
        <v>123778</v>
      </c>
      <c r="G157" s="62">
        <v>71353</v>
      </c>
      <c r="H157" s="62">
        <v>26771</v>
      </c>
      <c r="I157" s="62"/>
      <c r="J157" s="62">
        <f t="shared" ref="J157:J159" si="58">+L157+O157</f>
        <v>0</v>
      </c>
      <c r="K157" s="62"/>
      <c r="L157" s="62"/>
      <c r="M157" s="62"/>
      <c r="N157" s="62"/>
      <c r="O157" s="62"/>
      <c r="P157" s="62"/>
      <c r="Q157" s="61">
        <f t="shared" si="57"/>
        <v>123778</v>
      </c>
    </row>
    <row r="158" spans="1:17" s="31" customFormat="1" ht="181.5" customHeight="1">
      <c r="A158" s="32" t="s">
        <v>356</v>
      </c>
      <c r="B158" s="32" t="s">
        <v>208</v>
      </c>
      <c r="C158" s="32" t="s">
        <v>209</v>
      </c>
      <c r="D158" s="33" t="s">
        <v>210</v>
      </c>
      <c r="E158" s="62">
        <f t="shared" si="56"/>
        <v>604049</v>
      </c>
      <c r="F158" s="62">
        <v>604049</v>
      </c>
      <c r="G158" s="62">
        <v>195804</v>
      </c>
      <c r="H158" s="62">
        <v>39717</v>
      </c>
      <c r="I158" s="62"/>
      <c r="J158" s="62">
        <f t="shared" si="58"/>
        <v>0</v>
      </c>
      <c r="K158" s="62"/>
      <c r="L158" s="62"/>
      <c r="M158" s="62"/>
      <c r="N158" s="62"/>
      <c r="O158" s="62"/>
      <c r="P158" s="62"/>
      <c r="Q158" s="61">
        <f t="shared" si="57"/>
        <v>604049</v>
      </c>
    </row>
    <row r="159" spans="1:17" s="31" customFormat="1" ht="76.7" customHeight="1">
      <c r="A159" s="32" t="s">
        <v>357</v>
      </c>
      <c r="B159" s="32" t="s">
        <v>220</v>
      </c>
      <c r="C159" s="32" t="s">
        <v>217</v>
      </c>
      <c r="D159" s="33" t="s">
        <v>221</v>
      </c>
      <c r="E159" s="62">
        <f>F159+I159</f>
        <v>300000</v>
      </c>
      <c r="F159" s="62">
        <v>300000</v>
      </c>
      <c r="G159" s="62"/>
      <c r="H159" s="62"/>
      <c r="I159" s="62"/>
      <c r="J159" s="62">
        <f t="shared" si="58"/>
        <v>0</v>
      </c>
      <c r="K159" s="62"/>
      <c r="L159" s="62"/>
      <c r="M159" s="62"/>
      <c r="N159" s="62"/>
      <c r="O159" s="62"/>
      <c r="P159" s="62"/>
      <c r="Q159" s="61">
        <f t="shared" si="57"/>
        <v>300000</v>
      </c>
    </row>
    <row r="160" spans="1:17" s="31" customFormat="1" ht="90" customHeight="1">
      <c r="A160" s="32" t="s">
        <v>358</v>
      </c>
      <c r="B160" s="32" t="s">
        <v>69</v>
      </c>
      <c r="C160" s="32" t="s">
        <v>68</v>
      </c>
      <c r="D160" s="33" t="s">
        <v>70</v>
      </c>
      <c r="E160" s="62">
        <f t="shared" ref="E160:E161" si="59">F160+I160</f>
        <v>583381</v>
      </c>
      <c r="F160" s="62">
        <v>583381</v>
      </c>
      <c r="G160" s="62"/>
      <c r="H160" s="62">
        <v>43803</v>
      </c>
      <c r="I160" s="62"/>
      <c r="J160" s="62">
        <f>+L160+O160</f>
        <v>0</v>
      </c>
      <c r="K160" s="62"/>
      <c r="L160" s="62"/>
      <c r="M160" s="62"/>
      <c r="N160" s="62"/>
      <c r="O160" s="62"/>
      <c r="P160" s="62"/>
      <c r="Q160" s="61">
        <f t="shared" si="57"/>
        <v>583381</v>
      </c>
    </row>
    <row r="161" spans="1:17" s="31" customFormat="1" ht="176.25" customHeight="1">
      <c r="A161" s="67" t="s">
        <v>359</v>
      </c>
      <c r="B161" s="67" t="s">
        <v>275</v>
      </c>
      <c r="C161" s="67" t="s">
        <v>83</v>
      </c>
      <c r="D161" s="28" t="s">
        <v>276</v>
      </c>
      <c r="E161" s="62">
        <f t="shared" si="59"/>
        <v>2120000</v>
      </c>
      <c r="F161" s="62">
        <v>2120000</v>
      </c>
      <c r="G161" s="62"/>
      <c r="H161" s="62"/>
      <c r="I161" s="62"/>
      <c r="J161" s="62">
        <f>L161+O161</f>
        <v>0</v>
      </c>
      <c r="K161" s="62"/>
      <c r="L161" s="62"/>
      <c r="M161" s="62"/>
      <c r="N161" s="62"/>
      <c r="O161" s="62"/>
      <c r="P161" s="62"/>
      <c r="Q161" s="61">
        <f t="shared" si="57"/>
        <v>2120000</v>
      </c>
    </row>
    <row r="162" spans="1:17" s="31" customFormat="1" ht="198" customHeight="1">
      <c r="A162" s="37">
        <v>290000</v>
      </c>
      <c r="B162" s="37"/>
      <c r="C162" s="37"/>
      <c r="D162" s="38" t="s">
        <v>318</v>
      </c>
      <c r="E162" s="61">
        <f t="shared" ref="E162:P162" si="60">E163</f>
        <v>10036992</v>
      </c>
      <c r="F162" s="61">
        <f t="shared" si="60"/>
        <v>7791447</v>
      </c>
      <c r="G162" s="61">
        <f t="shared" si="60"/>
        <v>4099498</v>
      </c>
      <c r="H162" s="61">
        <f t="shared" si="60"/>
        <v>162674</v>
      </c>
      <c r="I162" s="61">
        <f t="shared" si="60"/>
        <v>2245545</v>
      </c>
      <c r="J162" s="61">
        <f t="shared" si="60"/>
        <v>0</v>
      </c>
      <c r="K162" s="61">
        <f t="shared" si="60"/>
        <v>0</v>
      </c>
      <c r="L162" s="61">
        <f t="shared" si="60"/>
        <v>0</v>
      </c>
      <c r="M162" s="61">
        <f t="shared" si="60"/>
        <v>0</v>
      </c>
      <c r="N162" s="61">
        <f t="shared" si="60"/>
        <v>0</v>
      </c>
      <c r="O162" s="61">
        <f t="shared" si="60"/>
        <v>0</v>
      </c>
      <c r="P162" s="61">
        <f t="shared" si="60"/>
        <v>0</v>
      </c>
      <c r="Q162" s="61">
        <f t="shared" si="39"/>
        <v>10036992</v>
      </c>
    </row>
    <row r="163" spans="1:17" s="31" customFormat="1" ht="205.5" customHeight="1">
      <c r="A163" s="37">
        <v>291000</v>
      </c>
      <c r="B163" s="37"/>
      <c r="C163" s="37"/>
      <c r="D163" s="38" t="s">
        <v>318</v>
      </c>
      <c r="E163" s="61">
        <f>SUM(E164:E168)</f>
        <v>10036992</v>
      </c>
      <c r="F163" s="61">
        <f t="shared" ref="F163:P163" si="61">SUM(F164:F168)</f>
        <v>7791447</v>
      </c>
      <c r="G163" s="61">
        <f t="shared" si="61"/>
        <v>4099498</v>
      </c>
      <c r="H163" s="61">
        <f t="shared" si="61"/>
        <v>162674</v>
      </c>
      <c r="I163" s="61">
        <f t="shared" si="61"/>
        <v>2245545</v>
      </c>
      <c r="J163" s="61">
        <f t="shared" si="61"/>
        <v>0</v>
      </c>
      <c r="K163" s="61">
        <f t="shared" si="61"/>
        <v>0</v>
      </c>
      <c r="L163" s="61">
        <f t="shared" si="61"/>
        <v>0</v>
      </c>
      <c r="M163" s="61">
        <f t="shared" si="61"/>
        <v>0</v>
      </c>
      <c r="N163" s="61">
        <f t="shared" si="61"/>
        <v>0</v>
      </c>
      <c r="O163" s="61">
        <f t="shared" si="61"/>
        <v>0</v>
      </c>
      <c r="P163" s="61">
        <f t="shared" si="61"/>
        <v>0</v>
      </c>
      <c r="Q163" s="61">
        <f t="shared" si="39"/>
        <v>10036992</v>
      </c>
    </row>
    <row r="164" spans="1:17" s="31" customFormat="1" ht="205.5" customHeight="1">
      <c r="A164" s="32" t="s">
        <v>320</v>
      </c>
      <c r="B164" s="35" t="s">
        <v>114</v>
      </c>
      <c r="C164" s="32" t="s">
        <v>54</v>
      </c>
      <c r="D164" s="33" t="s">
        <v>305</v>
      </c>
      <c r="E164" s="62">
        <f>F164+I164</f>
        <v>3457066</v>
      </c>
      <c r="F164" s="62">
        <v>3457066</v>
      </c>
      <c r="G164" s="62">
        <v>2588870</v>
      </c>
      <c r="H164" s="62">
        <v>30604</v>
      </c>
      <c r="I164" s="62"/>
      <c r="J164" s="62">
        <f>L164+O164</f>
        <v>0</v>
      </c>
      <c r="K164" s="62"/>
      <c r="L164" s="62"/>
      <c r="M164" s="62"/>
      <c r="N164" s="62"/>
      <c r="O164" s="62"/>
      <c r="P164" s="62"/>
      <c r="Q164" s="61">
        <f t="shared" si="39"/>
        <v>3457066</v>
      </c>
    </row>
    <row r="165" spans="1:17" s="31" customFormat="1" ht="119.25" customHeight="1">
      <c r="A165" s="32" t="s">
        <v>317</v>
      </c>
      <c r="B165" s="32" t="s">
        <v>164</v>
      </c>
      <c r="C165" s="32" t="s">
        <v>165</v>
      </c>
      <c r="D165" s="33" t="s">
        <v>166</v>
      </c>
      <c r="E165" s="62">
        <f>F165+I165</f>
        <v>2245545</v>
      </c>
      <c r="F165" s="62"/>
      <c r="G165" s="61"/>
      <c r="H165" s="61"/>
      <c r="I165" s="62">
        <v>2245545</v>
      </c>
      <c r="J165" s="62">
        <f>L165+O165</f>
        <v>0</v>
      </c>
      <c r="K165" s="61"/>
      <c r="L165" s="61"/>
      <c r="M165" s="61"/>
      <c r="N165" s="61"/>
      <c r="O165" s="61"/>
      <c r="P165" s="61"/>
      <c r="Q165" s="61">
        <f t="shared" si="39"/>
        <v>2245545</v>
      </c>
    </row>
    <row r="166" spans="1:17" s="31" customFormat="1" ht="149.25" customHeight="1">
      <c r="A166" s="32" t="s">
        <v>311</v>
      </c>
      <c r="B166" s="32" t="s">
        <v>103</v>
      </c>
      <c r="C166" s="32" t="s">
        <v>104</v>
      </c>
      <c r="D166" s="33" t="s">
        <v>105</v>
      </c>
      <c r="E166" s="62">
        <f>F166+I166</f>
        <v>358500</v>
      </c>
      <c r="F166" s="62">
        <v>358500</v>
      </c>
      <c r="G166" s="62"/>
      <c r="H166" s="62"/>
      <c r="I166" s="62"/>
      <c r="J166" s="62">
        <f>L166+O166</f>
        <v>0</v>
      </c>
      <c r="K166" s="62"/>
      <c r="L166" s="62"/>
      <c r="M166" s="62"/>
      <c r="N166" s="62"/>
      <c r="O166" s="62"/>
      <c r="P166" s="62"/>
      <c r="Q166" s="61">
        <f t="shared" si="39"/>
        <v>358500</v>
      </c>
    </row>
    <row r="167" spans="1:17" s="31" customFormat="1" ht="130.69999999999999" customHeight="1">
      <c r="A167" s="67" t="s">
        <v>321</v>
      </c>
      <c r="B167" s="67" t="s">
        <v>279</v>
      </c>
      <c r="C167" s="67" t="s">
        <v>104</v>
      </c>
      <c r="D167" s="33" t="s">
        <v>280</v>
      </c>
      <c r="E167" s="62">
        <f>F167+I167</f>
        <v>2229394</v>
      </c>
      <c r="F167" s="62">
        <v>2229394</v>
      </c>
      <c r="G167" s="62">
        <v>1510628</v>
      </c>
      <c r="H167" s="62">
        <v>132070</v>
      </c>
      <c r="I167" s="62"/>
      <c r="J167" s="62"/>
      <c r="K167" s="62"/>
      <c r="L167" s="62"/>
      <c r="M167" s="62"/>
      <c r="N167" s="62"/>
      <c r="O167" s="62"/>
      <c r="P167" s="62"/>
      <c r="Q167" s="61">
        <f t="shared" si="39"/>
        <v>2229394</v>
      </c>
    </row>
    <row r="168" spans="1:17" s="31" customFormat="1" ht="102" customHeight="1">
      <c r="A168" s="32" t="s">
        <v>312</v>
      </c>
      <c r="B168" s="32" t="s">
        <v>106</v>
      </c>
      <c r="C168" s="32" t="s">
        <v>107</v>
      </c>
      <c r="D168" s="33" t="s">
        <v>108</v>
      </c>
      <c r="E168" s="62">
        <f>F168+I168</f>
        <v>1746487</v>
      </c>
      <c r="F168" s="62">
        <v>1746487</v>
      </c>
      <c r="G168" s="62"/>
      <c r="H168" s="62"/>
      <c r="I168" s="62"/>
      <c r="J168" s="62">
        <f>L168+O168</f>
        <v>0</v>
      </c>
      <c r="K168" s="62"/>
      <c r="L168" s="62"/>
      <c r="M168" s="62"/>
      <c r="N168" s="62"/>
      <c r="O168" s="62"/>
      <c r="P168" s="62"/>
      <c r="Q168" s="61">
        <f t="shared" si="39"/>
        <v>1746487</v>
      </c>
    </row>
    <row r="169" spans="1:17" s="10" customFormat="1" ht="139.69999999999999" customHeight="1">
      <c r="A169" s="37" t="s">
        <v>43</v>
      </c>
      <c r="B169" s="37"/>
      <c r="C169" s="37"/>
      <c r="D169" s="38" t="s">
        <v>44</v>
      </c>
      <c r="E169" s="61">
        <f>E170</f>
        <v>151281587.72</v>
      </c>
      <c r="F169" s="61">
        <f t="shared" ref="F169:P169" si="62">F170</f>
        <v>133409000</v>
      </c>
      <c r="G169" s="61">
        <f t="shared" si="62"/>
        <v>9696643</v>
      </c>
      <c r="H169" s="61">
        <f t="shared" si="62"/>
        <v>0</v>
      </c>
      <c r="I169" s="61">
        <f t="shared" si="62"/>
        <v>0</v>
      </c>
      <c r="J169" s="61">
        <f t="shared" si="62"/>
        <v>186000</v>
      </c>
      <c r="K169" s="61">
        <f t="shared" si="62"/>
        <v>186000</v>
      </c>
      <c r="L169" s="61">
        <f t="shared" si="62"/>
        <v>0</v>
      </c>
      <c r="M169" s="61">
        <f t="shared" si="62"/>
        <v>0</v>
      </c>
      <c r="N169" s="61">
        <f t="shared" si="62"/>
        <v>0</v>
      </c>
      <c r="O169" s="61">
        <f t="shared" si="62"/>
        <v>186000</v>
      </c>
      <c r="P169" s="61">
        <f t="shared" si="62"/>
        <v>0</v>
      </c>
      <c r="Q169" s="61">
        <f t="shared" si="39"/>
        <v>151467587.72</v>
      </c>
    </row>
    <row r="170" spans="1:17" s="10" customFormat="1" ht="127.5" customHeight="1">
      <c r="A170" s="37" t="s">
        <v>45</v>
      </c>
      <c r="B170" s="37"/>
      <c r="C170" s="37"/>
      <c r="D170" s="38" t="s">
        <v>46</v>
      </c>
      <c r="E170" s="61">
        <f>SUM(E171:E177)</f>
        <v>151281587.72</v>
      </c>
      <c r="F170" s="61">
        <f t="shared" ref="F170:O170" si="63">SUM(F171:F177)</f>
        <v>133409000</v>
      </c>
      <c r="G170" s="61">
        <f t="shared" si="63"/>
        <v>9696643</v>
      </c>
      <c r="H170" s="61">
        <f t="shared" si="63"/>
        <v>0</v>
      </c>
      <c r="I170" s="61">
        <f t="shared" si="63"/>
        <v>0</v>
      </c>
      <c r="J170" s="61">
        <f t="shared" si="63"/>
        <v>186000</v>
      </c>
      <c r="K170" s="61">
        <f t="shared" si="63"/>
        <v>186000</v>
      </c>
      <c r="L170" s="61">
        <f t="shared" si="63"/>
        <v>0</v>
      </c>
      <c r="M170" s="61">
        <f t="shared" si="63"/>
        <v>0</v>
      </c>
      <c r="N170" s="61">
        <f t="shared" si="63"/>
        <v>0</v>
      </c>
      <c r="O170" s="61">
        <f t="shared" si="63"/>
        <v>186000</v>
      </c>
      <c r="P170" s="61">
        <f t="shared" ref="P170" si="64">SUM(P171:P176)</f>
        <v>0</v>
      </c>
      <c r="Q170" s="61">
        <f t="shared" si="39"/>
        <v>151467587.72</v>
      </c>
    </row>
    <row r="171" spans="1:17" s="31" customFormat="1" ht="216" customHeight="1">
      <c r="A171" s="32" t="s">
        <v>293</v>
      </c>
      <c r="B171" s="32" t="s">
        <v>114</v>
      </c>
      <c r="C171" s="32" t="s">
        <v>54</v>
      </c>
      <c r="D171" s="33" t="s">
        <v>305</v>
      </c>
      <c r="E171" s="62">
        <f t="shared" ref="E171:E177" si="65">F171+I171</f>
        <v>12252312</v>
      </c>
      <c r="F171" s="62">
        <v>12252312</v>
      </c>
      <c r="G171" s="62">
        <v>9696643</v>
      </c>
      <c r="H171" s="62"/>
      <c r="I171" s="62"/>
      <c r="J171" s="62">
        <f t="shared" ref="J171:J177" si="66">L171+O171</f>
        <v>0</v>
      </c>
      <c r="K171" s="62"/>
      <c r="L171" s="62"/>
      <c r="M171" s="62"/>
      <c r="N171" s="62"/>
      <c r="O171" s="62"/>
      <c r="P171" s="62"/>
      <c r="Q171" s="61">
        <f t="shared" si="39"/>
        <v>12252312</v>
      </c>
    </row>
    <row r="172" spans="1:17" s="31" customFormat="1" ht="105" customHeight="1">
      <c r="A172" s="32" t="s">
        <v>294</v>
      </c>
      <c r="B172" s="32" t="s">
        <v>101</v>
      </c>
      <c r="C172" s="32" t="s">
        <v>77</v>
      </c>
      <c r="D172" s="30" t="s">
        <v>102</v>
      </c>
      <c r="E172" s="62">
        <f t="shared" si="65"/>
        <v>300000</v>
      </c>
      <c r="F172" s="62">
        <v>300000</v>
      </c>
      <c r="G172" s="62"/>
      <c r="H172" s="62"/>
      <c r="I172" s="62"/>
      <c r="J172" s="62">
        <f t="shared" si="66"/>
        <v>0</v>
      </c>
      <c r="K172" s="62"/>
      <c r="L172" s="62"/>
      <c r="M172" s="62"/>
      <c r="N172" s="62"/>
      <c r="O172" s="62"/>
      <c r="P172" s="62"/>
      <c r="Q172" s="61">
        <f t="shared" si="39"/>
        <v>300000</v>
      </c>
    </row>
    <row r="173" spans="1:17" s="31" customFormat="1" ht="110.25" customHeight="1">
      <c r="A173" s="32" t="s">
        <v>295</v>
      </c>
      <c r="B173" s="32" t="s">
        <v>296</v>
      </c>
      <c r="C173" s="32" t="s">
        <v>57</v>
      </c>
      <c r="D173" s="33" t="s">
        <v>297</v>
      </c>
      <c r="E173" s="62">
        <f t="shared" si="65"/>
        <v>4437057</v>
      </c>
      <c r="F173" s="62">
        <v>4437057</v>
      </c>
      <c r="G173" s="62"/>
      <c r="H173" s="62"/>
      <c r="I173" s="62"/>
      <c r="J173" s="62">
        <f t="shared" si="66"/>
        <v>0</v>
      </c>
      <c r="K173" s="62"/>
      <c r="L173" s="62"/>
      <c r="M173" s="62"/>
      <c r="N173" s="62"/>
      <c r="O173" s="62"/>
      <c r="P173" s="62"/>
      <c r="Q173" s="61">
        <f t="shared" si="39"/>
        <v>4437057</v>
      </c>
    </row>
    <row r="174" spans="1:17" s="31" customFormat="1" ht="100.5" customHeight="1">
      <c r="A174" s="32" t="s">
        <v>298</v>
      </c>
      <c r="B174" s="32" t="s">
        <v>299</v>
      </c>
      <c r="C174" s="32" t="s">
        <v>62</v>
      </c>
      <c r="D174" s="30" t="s">
        <v>300</v>
      </c>
      <c r="E174" s="62">
        <f>20000000-2127412.28</f>
        <v>17872587.719999999</v>
      </c>
      <c r="F174" s="62"/>
      <c r="G174" s="62"/>
      <c r="H174" s="62"/>
      <c r="I174" s="62"/>
      <c r="J174" s="62">
        <f t="shared" si="66"/>
        <v>0</v>
      </c>
      <c r="K174" s="62"/>
      <c r="L174" s="62"/>
      <c r="M174" s="62"/>
      <c r="N174" s="62"/>
      <c r="O174" s="62"/>
      <c r="P174" s="62"/>
      <c r="Q174" s="61">
        <f t="shared" si="39"/>
        <v>17872587.719999999</v>
      </c>
    </row>
    <row r="175" spans="1:17" s="31" customFormat="1" ht="119.25" customHeight="1">
      <c r="A175" s="32" t="s">
        <v>301</v>
      </c>
      <c r="B175" s="32" t="s">
        <v>302</v>
      </c>
      <c r="C175" s="32" t="s">
        <v>61</v>
      </c>
      <c r="D175" s="30" t="s">
        <v>303</v>
      </c>
      <c r="E175" s="62">
        <f t="shared" si="65"/>
        <v>107099000</v>
      </c>
      <c r="F175" s="62">
        <v>107099000</v>
      </c>
      <c r="G175" s="62"/>
      <c r="H175" s="62"/>
      <c r="I175" s="62"/>
      <c r="J175" s="62">
        <f t="shared" si="66"/>
        <v>0</v>
      </c>
      <c r="K175" s="62"/>
      <c r="L175" s="62"/>
      <c r="M175" s="62"/>
      <c r="N175" s="62"/>
      <c r="O175" s="62"/>
      <c r="P175" s="62"/>
      <c r="Q175" s="61">
        <f t="shared" si="39"/>
        <v>107099000</v>
      </c>
    </row>
    <row r="176" spans="1:17" s="31" customFormat="1" ht="99.95" customHeight="1">
      <c r="A176" s="32" t="s">
        <v>304</v>
      </c>
      <c r="B176" s="32" t="s">
        <v>142</v>
      </c>
      <c r="C176" s="32" t="s">
        <v>61</v>
      </c>
      <c r="D176" s="29" t="s">
        <v>143</v>
      </c>
      <c r="E176" s="62">
        <f t="shared" si="65"/>
        <v>8401631</v>
      </c>
      <c r="F176" s="62">
        <f>3970804+4430827</f>
        <v>8401631</v>
      </c>
      <c r="G176" s="62"/>
      <c r="H176" s="62"/>
      <c r="I176" s="62"/>
      <c r="J176" s="62">
        <f t="shared" si="66"/>
        <v>0</v>
      </c>
      <c r="K176" s="62"/>
      <c r="L176" s="62"/>
      <c r="M176" s="62"/>
      <c r="N176" s="62"/>
      <c r="O176" s="62"/>
      <c r="P176" s="62"/>
      <c r="Q176" s="61">
        <f t="shared" si="39"/>
        <v>8401631</v>
      </c>
    </row>
    <row r="177" spans="1:17" s="31" customFormat="1" ht="198.95" customHeight="1">
      <c r="A177" s="32" t="s">
        <v>383</v>
      </c>
      <c r="B177" s="32" t="s">
        <v>385</v>
      </c>
      <c r="C177" s="32" t="s">
        <v>61</v>
      </c>
      <c r="D177" s="29" t="s">
        <v>384</v>
      </c>
      <c r="E177" s="62">
        <f t="shared" si="65"/>
        <v>919000</v>
      </c>
      <c r="F177" s="62">
        <f>419000+200000+300000</f>
        <v>919000</v>
      </c>
      <c r="G177" s="62"/>
      <c r="H177" s="62"/>
      <c r="I177" s="62"/>
      <c r="J177" s="62">
        <f t="shared" si="66"/>
        <v>186000</v>
      </c>
      <c r="K177" s="62">
        <v>186000</v>
      </c>
      <c r="L177" s="62"/>
      <c r="M177" s="62"/>
      <c r="N177" s="62"/>
      <c r="O177" s="62">
        <v>186000</v>
      </c>
      <c r="P177" s="62"/>
      <c r="Q177" s="61">
        <f t="shared" si="39"/>
        <v>1105000</v>
      </c>
    </row>
    <row r="178" spans="1:17" s="10" customFormat="1" ht="87" customHeight="1">
      <c r="A178" s="32" t="s">
        <v>361</v>
      </c>
      <c r="B178" s="32" t="s">
        <v>361</v>
      </c>
      <c r="C178" s="32" t="s">
        <v>361</v>
      </c>
      <c r="D178" s="59" t="s">
        <v>362</v>
      </c>
      <c r="E178" s="61">
        <f t="shared" ref="E178:Q178" si="67">SUM(E14+E30+E43+E55+E71+E81+E96+E107+E120+E134+E141+E162+E169+E152)</f>
        <v>2370514482.7199998</v>
      </c>
      <c r="F178" s="61">
        <f t="shared" si="67"/>
        <v>1898357441</v>
      </c>
      <c r="G178" s="61">
        <f t="shared" si="67"/>
        <v>1024670442</v>
      </c>
      <c r="H178" s="61">
        <f t="shared" si="67"/>
        <v>124109761</v>
      </c>
      <c r="I178" s="61">
        <f t="shared" si="67"/>
        <v>454284454</v>
      </c>
      <c r="J178" s="61">
        <f t="shared" si="67"/>
        <v>292881887.75999999</v>
      </c>
      <c r="K178" s="61">
        <f t="shared" si="67"/>
        <v>210300770.93000001</v>
      </c>
      <c r="L178" s="61">
        <f t="shared" si="67"/>
        <v>77549400</v>
      </c>
      <c r="M178" s="61">
        <f t="shared" si="67"/>
        <v>9482400</v>
      </c>
      <c r="N178" s="61">
        <f t="shared" si="67"/>
        <v>2734300</v>
      </c>
      <c r="O178" s="61">
        <f t="shared" si="67"/>
        <v>215332487.75999999</v>
      </c>
      <c r="P178" s="61">
        <f t="shared" si="67"/>
        <v>0</v>
      </c>
      <c r="Q178" s="61">
        <f t="shared" si="67"/>
        <v>2663396370.4799995</v>
      </c>
    </row>
    <row r="179" spans="1:17" s="10" customFormat="1" ht="45" customHeight="1">
      <c r="A179" s="11"/>
      <c r="B179" s="12"/>
      <c r="C179" s="13"/>
      <c r="D179" s="14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</row>
    <row r="180" spans="1:17" s="55" customFormat="1" ht="235.5" customHeight="1">
      <c r="A180" s="84" t="s">
        <v>47</v>
      </c>
      <c r="B180" s="84"/>
      <c r="C180" s="84"/>
      <c r="D180" s="84"/>
      <c r="E180" s="84"/>
      <c r="F180" s="84"/>
      <c r="G180" s="84"/>
      <c r="H180" s="84"/>
      <c r="I180" s="79"/>
      <c r="J180" s="50"/>
      <c r="K180" s="50"/>
      <c r="L180" s="50"/>
      <c r="M180" s="50"/>
      <c r="N180" s="51" t="s">
        <v>326</v>
      </c>
      <c r="O180" s="52"/>
      <c r="P180" s="53"/>
      <c r="Q180" s="54"/>
    </row>
    <row r="181" spans="1:17" s="55" customFormat="1" ht="330" customHeight="1">
      <c r="A181" s="85" t="s">
        <v>434</v>
      </c>
      <c r="B181" s="85"/>
      <c r="C181" s="85"/>
      <c r="D181" s="85"/>
      <c r="E181" s="85"/>
      <c r="F181" s="85"/>
      <c r="G181" s="85"/>
      <c r="H181" s="85"/>
      <c r="I181" s="80"/>
      <c r="J181" s="56"/>
      <c r="K181" s="56"/>
      <c r="L181" s="56"/>
      <c r="M181" s="56"/>
      <c r="N181" s="83" t="s">
        <v>435</v>
      </c>
      <c r="O181" s="83"/>
      <c r="P181" s="57"/>
      <c r="Q181" s="58"/>
    </row>
    <row r="182" spans="1:17" ht="26.25">
      <c r="C182" s="18"/>
      <c r="E182" s="19"/>
      <c r="F182" s="19"/>
      <c r="G182" s="17"/>
      <c r="H182" s="17"/>
      <c r="I182" s="17"/>
      <c r="J182" s="17"/>
      <c r="K182" s="17"/>
      <c r="L182" s="17"/>
      <c r="M182" s="17"/>
      <c r="N182" s="17"/>
      <c r="O182" s="17"/>
      <c r="P182" s="17"/>
    </row>
    <row r="183" spans="1:17" ht="26.25">
      <c r="C183" s="18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</row>
    <row r="184" spans="1:17" ht="26.25">
      <c r="C184" s="18"/>
      <c r="D184" s="20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</row>
    <row r="185" spans="1:17" ht="26.25">
      <c r="C185" s="18"/>
      <c r="D185" s="20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</row>
    <row r="186" spans="1:17" ht="26.25">
      <c r="C186" s="18"/>
      <c r="D186" s="20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</row>
    <row r="187" spans="1:17" ht="26.25">
      <c r="C187" s="18"/>
      <c r="D187" s="20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</row>
    <row r="188" spans="1:17" ht="26.25">
      <c r="C188" s="18"/>
      <c r="D188" s="20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</row>
    <row r="189" spans="1:17" ht="26.25">
      <c r="C189" s="18"/>
      <c r="D189" s="20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</row>
    <row r="190" spans="1:17" ht="26.25">
      <c r="C190" s="18"/>
      <c r="D190" s="20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</row>
    <row r="191" spans="1:17">
      <c r="C191" s="21"/>
      <c r="D191" s="20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</row>
    <row r="192" spans="1:17">
      <c r="C192" s="21"/>
      <c r="D192" s="2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</row>
    <row r="193" spans="3:17">
      <c r="C193" s="21"/>
      <c r="D193" s="2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</row>
    <row r="194" spans="3:17">
      <c r="C194" s="21"/>
      <c r="D194" s="2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</row>
    <row r="195" spans="3:17">
      <c r="C195" s="21"/>
      <c r="D195" s="2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</row>
    <row r="196" spans="3:17">
      <c r="C196" s="21"/>
      <c r="D196" s="2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</row>
    <row r="197" spans="3:17">
      <c r="C197" s="21"/>
      <c r="D197" s="2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</row>
    <row r="198" spans="3:17">
      <c r="C198" s="21"/>
      <c r="D198" s="2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</row>
    <row r="199" spans="3:17">
      <c r="C199" s="21"/>
      <c r="D199" s="2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</row>
    <row r="200" spans="3:17">
      <c r="C200" s="21"/>
      <c r="D200" s="2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</row>
    <row r="201" spans="3:17">
      <c r="C201" s="21"/>
      <c r="D201" s="2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</row>
    <row r="202" spans="3:17">
      <c r="C202" s="21"/>
      <c r="D202" s="2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</row>
    <row r="203" spans="3:17">
      <c r="C203" s="21"/>
      <c r="D203" s="2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</row>
    <row r="204" spans="3:17">
      <c r="C204" s="21"/>
      <c r="D204" s="2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</row>
    <row r="205" spans="3:17">
      <c r="C205" s="21"/>
      <c r="D205" s="2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</row>
    <row r="206" spans="3:17">
      <c r="C206" s="21"/>
      <c r="D206" s="2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</row>
    <row r="207" spans="3:17">
      <c r="C207" s="21"/>
      <c r="D207" s="2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</row>
    <row r="208" spans="3:17">
      <c r="C208" s="21"/>
      <c r="D208" s="2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</row>
    <row r="209" spans="3:17">
      <c r="C209" s="21"/>
      <c r="D209" s="2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</row>
    <row r="210" spans="3:17">
      <c r="C210" s="21"/>
      <c r="D210" s="2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</row>
    <row r="211" spans="3:17">
      <c r="C211" s="21"/>
      <c r="D211" s="2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</row>
    <row r="212" spans="3:17">
      <c r="C212" s="21"/>
      <c r="D212" s="2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</row>
    <row r="213" spans="3:17">
      <c r="C213" s="21"/>
      <c r="D213" s="2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</row>
    <row r="214" spans="3:17">
      <c r="C214" s="21"/>
      <c r="D214" s="2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</row>
    <row r="215" spans="3:17">
      <c r="C215" s="21"/>
      <c r="D215" s="2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</row>
    <row r="216" spans="3:17">
      <c r="C216" s="21"/>
      <c r="D216" s="2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</row>
    <row r="217" spans="3:17">
      <c r="C217" s="21"/>
      <c r="D217" s="2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</row>
    <row r="218" spans="3:17">
      <c r="C218" s="21"/>
      <c r="D218" s="2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</row>
    <row r="219" spans="3:17">
      <c r="C219" s="21"/>
      <c r="D219" s="2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</row>
    <row r="220" spans="3:17">
      <c r="C220" s="21"/>
      <c r="D220" s="2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</row>
    <row r="221" spans="3:17">
      <c r="C221" s="21"/>
      <c r="D221" s="2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</row>
    <row r="222" spans="3:17">
      <c r="C222" s="21"/>
      <c r="D222" s="2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</row>
    <row r="223" spans="3:17">
      <c r="C223" s="21"/>
      <c r="D223" s="2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</row>
    <row r="224" spans="3:17">
      <c r="C224" s="21"/>
      <c r="D224" s="2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</row>
    <row r="225" spans="3:17">
      <c r="C225" s="21"/>
      <c r="D225" s="2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</row>
    <row r="226" spans="3:17">
      <c r="C226" s="21"/>
      <c r="D226" s="2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</row>
    <row r="227" spans="3:17">
      <c r="C227" s="21"/>
      <c r="D227" s="2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</row>
    <row r="228" spans="3:17">
      <c r="C228" s="21"/>
      <c r="D228" s="2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</row>
    <row r="229" spans="3:17">
      <c r="C229" s="21"/>
      <c r="D229" s="2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</row>
    <row r="230" spans="3:17">
      <c r="C230" s="21"/>
      <c r="D230" s="2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</row>
    <row r="231" spans="3:17">
      <c r="C231" s="21"/>
      <c r="D231" s="2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</row>
    <row r="232" spans="3:17">
      <c r="C232" s="21"/>
      <c r="D232" s="2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</row>
    <row r="233" spans="3:17">
      <c r="C233" s="21"/>
      <c r="D233" s="2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</row>
    <row r="234" spans="3:17">
      <c r="C234" s="21"/>
      <c r="D234" s="2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</row>
    <row r="235" spans="3:17">
      <c r="C235" s="21"/>
      <c r="D235" s="2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</row>
    <row r="236" spans="3:17">
      <c r="C236" s="21"/>
      <c r="D236" s="2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</row>
    <row r="237" spans="3:17">
      <c r="C237" s="21"/>
      <c r="D237" s="2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</row>
    <row r="238" spans="3:17">
      <c r="C238" s="21"/>
      <c r="D238" s="2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</row>
    <row r="239" spans="3:17">
      <c r="C239" s="21"/>
      <c r="D239" s="2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</row>
    <row r="240" spans="3:17">
      <c r="C240" s="21"/>
      <c r="D240" s="2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</row>
    <row r="241" spans="3:17">
      <c r="C241" s="21"/>
      <c r="D241" s="2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</row>
    <row r="242" spans="3:17">
      <c r="C242" s="21"/>
      <c r="D242" s="2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</row>
    <row r="243" spans="3:17">
      <c r="C243" s="21"/>
      <c r="D243" s="2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</row>
    <row r="244" spans="3:17">
      <c r="C244" s="21"/>
      <c r="D244" s="2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</row>
    <row r="245" spans="3:17">
      <c r="C245" s="21"/>
      <c r="D245" s="2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</row>
    <row r="246" spans="3:17">
      <c r="C246" s="21"/>
      <c r="D246" s="2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</row>
    <row r="247" spans="3:17">
      <c r="C247" s="21"/>
      <c r="D247" s="2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</row>
    <row r="248" spans="3:17">
      <c r="C248" s="21"/>
      <c r="D248" s="2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</row>
    <row r="249" spans="3:17">
      <c r="C249" s="21"/>
      <c r="D249" s="2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</row>
    <row r="250" spans="3:17">
      <c r="C250" s="21"/>
      <c r="D250" s="2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</row>
    <row r="251" spans="3:17">
      <c r="C251" s="21"/>
      <c r="D251" s="2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</row>
    <row r="252" spans="3:17">
      <c r="C252" s="21"/>
      <c r="D252" s="2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</row>
    <row r="253" spans="3:17">
      <c r="C253" s="21"/>
      <c r="D253" s="2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</row>
    <row r="254" spans="3:17">
      <c r="C254" s="21"/>
      <c r="D254" s="2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</row>
    <row r="255" spans="3:17">
      <c r="C255" s="21"/>
      <c r="D255" s="2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</row>
    <row r="256" spans="3:17">
      <c r="C256" s="21"/>
      <c r="D256" s="2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</row>
    <row r="257" spans="3:16">
      <c r="C257" s="21"/>
      <c r="D257" s="2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</row>
    <row r="258" spans="3:16">
      <c r="C258" s="21"/>
      <c r="D258" s="2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</row>
    <row r="259" spans="3:16">
      <c r="C259" s="21"/>
      <c r="D259" s="2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</row>
    <row r="260" spans="3:16">
      <c r="C260" s="21"/>
      <c r="D260" s="2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</row>
    <row r="261" spans="3:16">
      <c r="C261" s="21"/>
      <c r="D261" s="2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</row>
    <row r="262" spans="3:16">
      <c r="C262" s="21"/>
      <c r="D262" s="2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</row>
    <row r="263" spans="3:16">
      <c r="C263" s="21"/>
      <c r="D263" s="2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</row>
    <row r="264" spans="3:16">
      <c r="C264" s="21"/>
      <c r="D264" s="2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</row>
    <row r="265" spans="3:16">
      <c r="C265" s="21"/>
      <c r="D265" s="2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</row>
    <row r="266" spans="3:16">
      <c r="C266" s="21"/>
      <c r="D266" s="2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</row>
    <row r="267" spans="3:16">
      <c r="C267" s="21"/>
      <c r="D267" s="2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</row>
    <row r="268" spans="3:16">
      <c r="C268" s="21"/>
      <c r="D268" s="2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</row>
    <row r="269" spans="3:16">
      <c r="C269" s="21"/>
      <c r="D269" s="2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</row>
    <row r="270" spans="3:16">
      <c r="C270" s="21"/>
      <c r="D270" s="2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</row>
    <row r="271" spans="3:16">
      <c r="C271" s="21"/>
      <c r="D271" s="2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</row>
    <row r="272" spans="3:16">
      <c r="C272" s="21"/>
      <c r="D272" s="2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</row>
    <row r="273" spans="3:16">
      <c r="C273" s="21"/>
      <c r="D273" s="2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</row>
    <row r="274" spans="3:16">
      <c r="C274" s="21"/>
      <c r="D274" s="2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</row>
    <row r="275" spans="3:16">
      <c r="C275" s="21"/>
      <c r="D275" s="2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</row>
    <row r="276" spans="3:16">
      <c r="C276" s="21"/>
      <c r="D276" s="2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</row>
    <row r="277" spans="3:16">
      <c r="C277" s="21"/>
      <c r="D277" s="2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</row>
    <row r="278" spans="3:16">
      <c r="C278" s="21"/>
      <c r="D278" s="2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</row>
    <row r="279" spans="3:16">
      <c r="C279" s="23"/>
      <c r="D279" s="2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</row>
    <row r="280" spans="3:16">
      <c r="C280" s="23"/>
      <c r="D280" s="2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</row>
    <row r="281" spans="3:16">
      <c r="D281" s="22"/>
    </row>
    <row r="282" spans="3:16">
      <c r="D282" s="24"/>
    </row>
    <row r="283" spans="3:16">
      <c r="D283" s="24"/>
    </row>
    <row r="284" spans="3:16">
      <c r="D284" s="24"/>
    </row>
    <row r="285" spans="3:16">
      <c r="D285" s="24"/>
    </row>
    <row r="286" spans="3:16">
      <c r="D286" s="24"/>
    </row>
    <row r="287" spans="3:16">
      <c r="D287" s="24"/>
    </row>
    <row r="288" spans="3:16">
      <c r="D288" s="24"/>
    </row>
    <row r="289" spans="4:4">
      <c r="D289" s="24"/>
    </row>
    <row r="290" spans="4:4">
      <c r="D290" s="24"/>
    </row>
    <row r="291" spans="4:4">
      <c r="D291" s="24"/>
    </row>
    <row r="292" spans="4:4">
      <c r="D292" s="24"/>
    </row>
    <row r="293" spans="4:4">
      <c r="D293" s="24"/>
    </row>
    <row r="294" spans="4:4">
      <c r="D294" s="24"/>
    </row>
    <row r="295" spans="4:4">
      <c r="D295" s="24"/>
    </row>
    <row r="296" spans="4:4">
      <c r="D296" s="24"/>
    </row>
    <row r="297" spans="4:4">
      <c r="D297" s="24"/>
    </row>
    <row r="298" spans="4:4">
      <c r="D298" s="24"/>
    </row>
  </sheetData>
  <sheetProtection formatCells="0" formatColumns="0" formatRows="0" insertColumns="0" insertRows="0" insertHyperlinks="0" deleteColumns="0" deleteRows="0" sort="0" autoFilter="0" pivotTables="0"/>
  <autoFilter ref="A13:Q178"/>
  <customSheetViews>
    <customSheetView guid="{1D8128F6-B435-44FF-A037-9BD54EFEFDCB}" scale="33" showPageBreaks="1" zeroValues="0" printArea="1" showAutoFilter="1" hiddenColumns="1" view="pageBreakPreview" topLeftCell="A4">
      <pane xSplit="4" ySplit="9" topLeftCell="G171" activePane="bottomRight" state="frozen"/>
      <selection pane="bottomRight" activeCell="J10" sqref="J10:J12"/>
      <rowBreaks count="8" manualBreakCount="8">
        <brk id="20" max="16" man="1"/>
        <brk id="30" max="16" man="1"/>
        <brk id="41" max="16" man="1"/>
        <brk id="62" max="16" man="1"/>
        <brk id="71" max="16" man="1"/>
        <brk id="85" max="16" man="1"/>
        <brk id="94" max="16" man="1"/>
        <brk id="1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"/>
      <headerFooter differentFirst="1" alignWithMargins="0">
        <oddHeader xml:space="preserve">&amp;R&amp;"Times New Roman,обычный"&amp;30
Продовження додатка 3              </oddHeader>
      </headerFooter>
      <autoFilter ref="A13:Q176"/>
    </customSheetView>
    <customSheetView guid="{BA4A7868-A59A-4BB8-AC85-B9766165ABB8}" scale="30" showPageBreaks="1" zeroValues="0" view="pageBreakPreview" topLeftCell="A4">
      <pane xSplit="8" ySplit="9" topLeftCell="I55" activePane="bottomRight" state="frozen"/>
      <selection pane="bottomRight" activeCell="K22" sqref="K22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2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114" activePane="bottomRight" state="frozen"/>
      <selection pane="bottomRight" activeCell="F123" sqref="F12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3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97" activePane="bottomRight" state="frozen"/>
      <selection pane="bottomRight" activeCell="F94" sqref="F94:F95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72281E9A-1074-405D-BEC9-F19F3AAF08DD}" scale="30" showPageBreaks="1" zeroValues="0" hiddenColumns="1" view="pageBreakPreview" topLeftCell="A85">
      <selection activeCell="D88" sqref="D88"/>
      <rowBreaks count="6" manualBreakCount="6">
        <brk id="17" max="16" man="1"/>
        <brk id="48" max="16" man="1"/>
        <brk id="65" max="16383" man="1"/>
        <brk id="78" max="16" man="1"/>
        <brk id="83" max="16" man="1"/>
        <brk id="15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39370078740157483" top="1.1811023622047245" bottom="0.78740157480314965" header="0" footer="0"/>
      <printOptions horizontalCentered="1"/>
      <pageSetup paperSize="9" scale="25" fitToHeight="15" orientation="landscape" verticalDpi="300" r:id="rId6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158" activePane="bottomRight" state="frozen"/>
      <selection pane="bottomRight" activeCell="F159" sqref="F159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47" activePane="bottomRight" state="frozen"/>
      <selection pane="bottomRight" activeCell="F48" sqref="F48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9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0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5D060DE1-CC13-45C6-B427-3A50E6447880}" scale="33" showPageBreaks="1" zeroValues="0" hiddenColumns="1" view="pageBreakPreview" topLeftCell="A4">
      <pane xSplit="8" ySplit="9" topLeftCell="J102" activePane="bottomRight" state="frozen"/>
      <selection pane="bottomRight" activeCell="A113" sqref="A113:D113"/>
      <rowBreaks count="11" manualBreakCount="11">
        <brk id="66" max="16" man="1"/>
        <brk id="83" max="16" man="1"/>
        <brk id="87" max="16" man="1"/>
        <brk id="94" max="16" man="1"/>
        <brk id="98" max="16383" man="1"/>
        <brk id="100" max="16383" man="1"/>
        <brk id="102" max="16383" man="1"/>
        <brk id="107" max="16" man="1"/>
        <brk id="189" max="16" man="1"/>
        <brk id="198" max="16" man="1"/>
        <brk id="23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1"/>
      <headerFooter differentFirst="1" alignWithMargins="0"/>
    </customSheetView>
    <customSheetView guid="{A5151744-FE8A-4DF9-B3B3-ED6499544881}" scale="57" showPageBreaks="1" zeroValues="0" hiddenColumns="1" topLeftCell="A7">
      <pane xSplit="4" ySplit="7" topLeftCell="E35" activePane="bottomRight" state="frozen"/>
      <selection pane="bottomRight" activeCell="D36" sqref="D36"/>
      <rowBreaks count="14" manualBreakCount="14">
        <brk id="37" max="16" man="1"/>
        <brk id="54" max="16383" man="1"/>
        <brk id="67" max="16383" man="1"/>
        <brk id="70" max="16" man="1"/>
        <brk id="87" max="16" man="1"/>
        <brk id="91" max="16" man="1"/>
        <brk id="98" max="16" man="1"/>
        <brk id="102" max="16383" man="1"/>
        <brk id="105" max="16383" man="1"/>
        <brk id="107" max="16383" man="1"/>
        <brk id="112" max="16" man="1"/>
        <brk id="194" max="16" man="1"/>
        <brk id="203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2"/>
      <headerFooter differentFirst="1" alignWithMargins="0"/>
    </customSheetView>
  </customSheetViews>
  <mergeCells count="30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181:O181"/>
    <mergeCell ref="A180:H180"/>
    <mergeCell ref="H11:H12"/>
    <mergeCell ref="M11:M12"/>
    <mergeCell ref="A181:H181"/>
    <mergeCell ref="O10:O12"/>
    <mergeCell ref="B9:B12"/>
    <mergeCell ref="F10:F12"/>
    <mergeCell ref="G10:H10"/>
    <mergeCell ref="E10:E12"/>
    <mergeCell ref="J10:J12"/>
    <mergeCell ref="L10:L12"/>
  </mergeCells>
  <phoneticPr fontId="0" type="noConversion"/>
  <printOptions horizontalCentered="1"/>
  <pageMargins left="0.31496062992125984" right="0.59055118110236227" top="1.1811023622047245" bottom="0.78740157480314965" header="0" footer="0"/>
  <pageSetup paperSize="9" scale="20" fitToHeight="15" orientation="landscape" verticalDpi="300" r:id="rId13"/>
  <headerFooter differentFirst="1" alignWithMargins="0">
    <oddHeader xml:space="preserve">&amp;R&amp;"Times New Roman,обычный"&amp;30
Продовження додатка 3              </oddHeader>
  </headerFooter>
  <rowBreaks count="8" manualBreakCount="8">
    <brk id="20" max="16" man="1"/>
    <brk id="30" max="16" man="1"/>
    <brk id="41" max="16" man="1"/>
    <brk id="62" max="16" man="1"/>
    <brk id="71" max="16" man="1"/>
    <brk id="85" max="16" man="1"/>
    <brk id="94" max="16" man="1"/>
    <brk id="117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2020</vt:lpstr>
      <vt:lpstr>'бюджет 2020'!Заголовки_для_печати</vt:lpstr>
      <vt:lpstr>'бюджет 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Oleg</cp:lastModifiedBy>
  <cp:lastPrinted>2020-02-12T16:06:04Z</cp:lastPrinted>
  <dcterms:created xsi:type="dcterms:W3CDTF">2018-06-12T07:38:27Z</dcterms:created>
  <dcterms:modified xsi:type="dcterms:W3CDTF">2020-02-26T09:36:59Z</dcterms:modified>
</cp:coreProperties>
</file>