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вітність та фінплан\2020\"/>
    </mc:Choice>
  </mc:AlternateContent>
  <bookViews>
    <workbookView xWindow="0" yWindow="0" windowWidth="28800" windowHeight="12330" tabRatio="894" firstSheet="1" activeTab="3"/>
  </bookViews>
  <sheets>
    <sheet name="Лист1" sheetId="20" r:id="rId1"/>
    <sheet name="тітул" sheetId="21" r:id="rId2"/>
    <sheet name="Осн. фін. пок." sheetId="14" r:id="rId3"/>
    <sheet name="I. Фін результат" sheetId="2" r:id="rId4"/>
    <sheet name="ІІ. Розр. з бюджетом" sheetId="19" r:id="rId5"/>
    <sheet name="ІІІ. Рух грош. коштів" sheetId="18" r:id="rId6"/>
    <sheet name="IV. Кап. інвестиції" sheetId="3" r:id="rId7"/>
    <sheet name=" V. Коефіцієнти" sheetId="11" r:id="rId8"/>
    <sheet name="6.1. Інша інфо_1" sheetId="10" r:id="rId9"/>
    <sheet name="штатка" sheetId="26" r:id="rId10"/>
    <sheet name="6.2. Інша інфо_2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123Graph_XGRAPH3" localSheetId="1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1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1">#REF!</definedName>
    <definedName name="Cost_Category_National_ID">#REF!</definedName>
    <definedName name="Cе511" localSheetId="1">#REF!</definedName>
    <definedName name="Cе511">#REF!</definedName>
    <definedName name="d">'[9]МТР Газ України'!$B$4</definedName>
    <definedName name="dCPIb" localSheetId="1">[10]попер_роз!#REF!</definedName>
    <definedName name="dCPIb">[10]попер_роз!#REF!</definedName>
    <definedName name="dPPIb" localSheetId="1">[10]попер_роз!#REF!</definedName>
    <definedName name="dPPIb">[10]попер_роз!#REF!</definedName>
    <definedName name="ds" localSheetId="1">'[11]7  Інші витрати'!#REF!</definedName>
    <definedName name="ds">'[11]7  Інші витрати'!#REF!</definedName>
    <definedName name="Fact_Type_ID" localSheetId="1">#REF!</definedName>
    <definedName name="Fact_Type_ID">#REF!</definedName>
    <definedName name="G">'[12]МТР Газ України'!$B$1</definedName>
    <definedName name="ij1sssss" localSheetId="1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1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1">[14]!ShowFil</definedName>
    <definedName name="ShowFil">[14]!ShowFil</definedName>
    <definedName name="SU_ID" localSheetId="1">#REF!</definedName>
    <definedName name="SU_ID">#REF!</definedName>
    <definedName name="Time_ID">'[16]МТР Газ України'!$B$1</definedName>
    <definedName name="Time_ID_10" localSheetId="1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1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1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1">#REF!</definedName>
    <definedName name="yyyy">#REF!</definedName>
    <definedName name="zx">'[4]МТР Газ України'!$F$1</definedName>
    <definedName name="zxc">[5]Inform!$E$38</definedName>
    <definedName name="а" localSheetId="1">'[13]7  Інші витрати'!#REF!</definedName>
    <definedName name="а">'[13]7  Інші витрати'!#REF!</definedName>
    <definedName name="ав" localSheetId="1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1">'[27]БАЗА  '!#REF!</definedName>
    <definedName name="ватт">'[27]БАЗА  '!#REF!</definedName>
    <definedName name="Д">'[15]МТР Газ України'!$B$4</definedName>
    <definedName name="е" localSheetId="1">#REF!</definedName>
    <definedName name="е">#REF!</definedName>
    <definedName name="є" localSheetId="1">#REF!</definedName>
    <definedName name="є">#REF!</definedName>
    <definedName name="_xlnm.Print_Titles" localSheetId="7">' V. Коефіцієнти'!$5:$5</definedName>
    <definedName name="_xlnm.Print_Titles" localSheetId="3">'I. Фін результат'!$5:$5</definedName>
    <definedName name="_xlnm.Print_Titles" localSheetId="4">'ІІ. Розр. з бюджетом'!$5:$5</definedName>
    <definedName name="_xlnm.Print_Titles" localSheetId="5">'ІІІ. Рух грош. коштів'!$5:$5</definedName>
    <definedName name="_xlnm.Print_Titles" localSheetId="2">'Осн. фін. пок.'!$9:$9</definedName>
    <definedName name="_xlnm.Print_Titles" localSheetId="1">тітул!#REF!</definedName>
    <definedName name="Заголовки_для_печати_МИ">'[28]1993'!$A$1:$IV$3,'[28]1993'!$A$1:$A$65536</definedName>
    <definedName name="і">[29]Inform!$F$2</definedName>
    <definedName name="ів" localSheetId="1">#REF!</definedName>
    <definedName name="ів">#REF!</definedName>
    <definedName name="ів___0" localSheetId="1">#REF!</definedName>
    <definedName name="ів___0">#REF!</definedName>
    <definedName name="ів_22" localSheetId="1">#REF!</definedName>
    <definedName name="ів_22">#REF!</definedName>
    <definedName name="ів_26" localSheetId="1">#REF!</definedName>
    <definedName name="ів_26">#REF!</definedName>
    <definedName name="іваіа" localSheetId="1">'[30]7  Інші витрати'!#REF!</definedName>
    <definedName name="іваіа">'[30]7  Інші витрати'!#REF!</definedName>
    <definedName name="іваф" localSheetId="1">#REF!</definedName>
    <definedName name="іваф">#REF!</definedName>
    <definedName name="івів">'[12]МТР Газ України'!$B$1</definedName>
    <definedName name="іцу">[23]Inform!$G$2</definedName>
    <definedName name="йуц" localSheetId="1">#REF!</definedName>
    <definedName name="йуц">#REF!</definedName>
    <definedName name="йцу" localSheetId="1">#REF!</definedName>
    <definedName name="йцу">#REF!</definedName>
    <definedName name="йцуйй" localSheetId="1">#REF!</definedName>
    <definedName name="йцуйй">#REF!</definedName>
    <definedName name="йцукц" localSheetId="1">'[30]7  Інші витрати'!#REF!</definedName>
    <definedName name="йцукц">'[30]7  Інші витрати'!#REF!</definedName>
    <definedName name="КЕ" localSheetId="1">#REF!</definedName>
    <definedName name="КЕ">#REF!</definedName>
    <definedName name="КЕ___0" localSheetId="1">#REF!</definedName>
    <definedName name="КЕ___0">#REF!</definedName>
    <definedName name="КЕ_22" localSheetId="1">#REF!</definedName>
    <definedName name="КЕ_22">#REF!</definedName>
    <definedName name="КЕ_26" localSheetId="1">#REF!</definedName>
    <definedName name="КЕ_26">#REF!</definedName>
    <definedName name="кен" localSheetId="1">#REF!</definedName>
    <definedName name="кен">#REF!</definedName>
    <definedName name="л" localSheetId="1">#REF!</definedName>
    <definedName name="л">#REF!</definedName>
    <definedName name="_xlnm.Print_Area" localSheetId="7">' V. Коефіцієнти'!$A$1:$H$26</definedName>
    <definedName name="_xlnm.Print_Area" localSheetId="8">'6.1. Інша інфо_1'!$A$1:$O$81</definedName>
    <definedName name="_xlnm.Print_Area" localSheetId="10">'6.2. Інша інфо_2'!$A$1:$AE$59</definedName>
    <definedName name="_xlnm.Print_Area" localSheetId="3">'I. Фін результат'!$A$1:$J$120</definedName>
    <definedName name="_xlnm.Print_Area" localSheetId="6">'IV. Кап. інвестиції'!$A$1:$I$16</definedName>
    <definedName name="_xlnm.Print_Area" localSheetId="4">'ІІ. Розр. з бюджетом'!$A$1:$I$45</definedName>
    <definedName name="_xlnm.Print_Area" localSheetId="5">'ІІІ. Рух грош. коштів'!$A$1:$I$88</definedName>
    <definedName name="_xlnm.Print_Area" localSheetId="2">'Осн. фін. пок.'!$A$1:$J$60</definedName>
    <definedName name="_xlnm.Print_Area" localSheetId="1">тітул!$A$1:$J$32</definedName>
    <definedName name="п" localSheetId="1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1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1">#REF!</definedName>
    <definedName name="р">#REF!</definedName>
    <definedName name="т">[32]Inform!$E$6</definedName>
    <definedName name="тариф">[33]Inform!$G$2</definedName>
    <definedName name="уйцукйцуйу" localSheetId="1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1">'[30]7  Інші витрати'!#REF!</definedName>
    <definedName name="фіваіф">'[30]7  Інші витрати'!#REF!</definedName>
    <definedName name="фф">'[26]МТР Газ України'!$F$1</definedName>
    <definedName name="ц" localSheetId="1">'[13]7  Інші витрати'!#REF!</definedName>
    <definedName name="ц">'[13]7  Інші витрати'!#REF!</definedName>
    <definedName name="ччч" localSheetId="1">'[35]БАЗА  '!#REF!</definedName>
    <definedName name="ччч">'[35]БАЗА  '!#REF!</definedName>
    <definedName name="ш" localSheetId="1">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E14" i="11" l="1"/>
  <c r="E13" i="11"/>
  <c r="E10" i="11"/>
  <c r="E9" i="11"/>
  <c r="F15" i="11" l="1"/>
  <c r="D15" i="11"/>
  <c r="F14" i="11"/>
  <c r="D14" i="11"/>
  <c r="X25" i="26"/>
  <c r="X26" i="26"/>
  <c r="W13" i="26"/>
  <c r="W19" i="26"/>
  <c r="W24" i="26"/>
  <c r="W25" i="26"/>
  <c r="Q23" i="26" l="1"/>
  <c r="Q25" i="26"/>
  <c r="P13" i="26"/>
  <c r="R13" i="26" s="1"/>
  <c r="T13" i="26" s="1"/>
  <c r="P25" i="26"/>
  <c r="R25" i="26" s="1"/>
  <c r="T25" i="26" s="1"/>
  <c r="G29" i="26"/>
  <c r="S25" i="26"/>
  <c r="U25" i="26" s="1"/>
  <c r="O12" i="26"/>
  <c r="O13" i="26"/>
  <c r="Q13" i="26" s="1"/>
  <c r="O18" i="26"/>
  <c r="O23" i="26"/>
  <c r="O25" i="26"/>
  <c r="O26" i="26"/>
  <c r="Q26" i="26" s="1"/>
  <c r="S26" i="26" s="1"/>
  <c r="U26" i="26" s="1"/>
  <c r="N10" i="26"/>
  <c r="N13" i="26"/>
  <c r="N19" i="26"/>
  <c r="P19" i="26" s="1"/>
  <c r="R19" i="26" s="1"/>
  <c r="T19" i="26" s="1"/>
  <c r="N22" i="26"/>
  <c r="N24" i="26"/>
  <c r="P24" i="26" s="1"/>
  <c r="R24" i="26" s="1"/>
  <c r="N25" i="26"/>
  <c r="E17" i="2"/>
  <c r="V36" i="9"/>
  <c r="W36" i="9"/>
  <c r="X36" i="9"/>
  <c r="Y36" i="9"/>
  <c r="Z36" i="9"/>
  <c r="U36" i="9"/>
  <c r="K36" i="9"/>
  <c r="L36" i="9"/>
  <c r="M36" i="9"/>
  <c r="N36" i="9"/>
  <c r="I13" i="26"/>
  <c r="X13" i="26" s="1"/>
  <c r="I16" i="26"/>
  <c r="X16" i="26" s="1"/>
  <c r="I19" i="26"/>
  <c r="X19" i="26" s="1"/>
  <c r="I24" i="26"/>
  <c r="X24" i="26" s="1"/>
  <c r="C28" i="26"/>
  <c r="H27" i="26"/>
  <c r="H26" i="26"/>
  <c r="L25" i="26"/>
  <c r="C23" i="26"/>
  <c r="U23" i="26" s="1"/>
  <c r="H22" i="26"/>
  <c r="C18" i="26"/>
  <c r="Q18" i="26" s="1"/>
  <c r="H17" i="26"/>
  <c r="N17" i="26" s="1"/>
  <c r="P17" i="26" s="1"/>
  <c r="H16" i="26"/>
  <c r="C12" i="26"/>
  <c r="H11" i="26"/>
  <c r="H10" i="26"/>
  <c r="C29" i="26" l="1"/>
  <c r="L22" i="26"/>
  <c r="W22" i="26"/>
  <c r="P22" i="26"/>
  <c r="L27" i="26"/>
  <c r="W27" i="26"/>
  <c r="I22" i="26"/>
  <c r="O16" i="26"/>
  <c r="Q16" i="26" s="1"/>
  <c r="S16" i="26" s="1"/>
  <c r="U16" i="26" s="1"/>
  <c r="U12" i="26"/>
  <c r="Q12" i="26"/>
  <c r="L11" i="26"/>
  <c r="W11" i="26"/>
  <c r="L16" i="26"/>
  <c r="W16" i="26"/>
  <c r="I11" i="26"/>
  <c r="N16" i="26"/>
  <c r="O24" i="26"/>
  <c r="S19" i="26"/>
  <c r="U19" i="26" s="1"/>
  <c r="U24" i="26"/>
  <c r="Q19" i="26"/>
  <c r="H28" i="26"/>
  <c r="W26" i="26"/>
  <c r="N26" i="26"/>
  <c r="P26" i="26" s="1"/>
  <c r="R26" i="26" s="1"/>
  <c r="T26" i="26" s="1"/>
  <c r="U18" i="26"/>
  <c r="O19" i="26"/>
  <c r="L10" i="26"/>
  <c r="R10" i="26"/>
  <c r="T10" i="26" s="1"/>
  <c r="W10" i="26"/>
  <c r="P10" i="26"/>
  <c r="L17" i="26"/>
  <c r="W17" i="26"/>
  <c r="I27" i="26"/>
  <c r="I17" i="26"/>
  <c r="I10" i="26"/>
  <c r="N27" i="26"/>
  <c r="P27" i="26" s="1"/>
  <c r="R27" i="26" s="1"/>
  <c r="T27" i="26" s="1"/>
  <c r="N11" i="26"/>
  <c r="P11" i="26" s="1"/>
  <c r="S13" i="26"/>
  <c r="U13" i="26" s="1"/>
  <c r="P16" i="26"/>
  <c r="R16" i="26" s="1"/>
  <c r="T16" i="26" s="1"/>
  <c r="Q24" i="26"/>
  <c r="R22" i="26"/>
  <c r="T22" i="26" s="1"/>
  <c r="R17" i="26"/>
  <c r="T17" i="26" s="1"/>
  <c r="F8" i="26"/>
  <c r="L26" i="26"/>
  <c r="L28" i="26" s="1"/>
  <c r="C101" i="2"/>
  <c r="R11" i="26" l="1"/>
  <c r="X27" i="26"/>
  <c r="O27" i="26"/>
  <c r="Q27" i="26" s="1"/>
  <c r="S27" i="26" s="1"/>
  <c r="U27" i="26" s="1"/>
  <c r="Q41" i="26"/>
  <c r="P41" i="26"/>
  <c r="X11" i="26"/>
  <c r="O11" i="26"/>
  <c r="Q11" i="26" s="1"/>
  <c r="H8" i="26"/>
  <c r="X22" i="26"/>
  <c r="O22" i="26"/>
  <c r="Q22" i="26" s="1"/>
  <c r="S22" i="26" s="1"/>
  <c r="U22" i="26" s="1"/>
  <c r="N42" i="26"/>
  <c r="C12" i="20" s="1"/>
  <c r="X10" i="26"/>
  <c r="O10" i="26"/>
  <c r="Q10" i="26" s="1"/>
  <c r="S10" i="26" s="1"/>
  <c r="U10" i="26" s="1"/>
  <c r="X17" i="26"/>
  <c r="O17" i="26"/>
  <c r="Q17" i="26" s="1"/>
  <c r="S17" i="26" s="1"/>
  <c r="U17" i="26" s="1"/>
  <c r="O41" i="26"/>
  <c r="F49" i="2"/>
  <c r="O42" i="26" l="1"/>
  <c r="D12" i="20" s="1"/>
  <c r="S11" i="26"/>
  <c r="U11" i="26" s="1"/>
  <c r="W8" i="26"/>
  <c r="R8" i="26"/>
  <c r="N57" i="26"/>
  <c r="N8" i="26"/>
  <c r="P8" i="26"/>
  <c r="T8" i="26"/>
  <c r="L8" i="26"/>
  <c r="H14" i="26"/>
  <c r="H9" i="26"/>
  <c r="T11" i="26"/>
  <c r="Q42" i="26" s="1"/>
  <c r="F12" i="20" s="1"/>
  <c r="P42" i="26"/>
  <c r="E12" i="20" s="1"/>
  <c r="C45" i="18"/>
  <c r="D45" i="18"/>
  <c r="C39" i="18"/>
  <c r="C23" i="2"/>
  <c r="F112" i="2"/>
  <c r="G112" i="2"/>
  <c r="H112" i="2"/>
  <c r="I112" i="2"/>
  <c r="E112" i="2"/>
  <c r="E9" i="18" s="1"/>
  <c r="E16" i="18"/>
  <c r="N13" i="10"/>
  <c r="N14" i="10"/>
  <c r="N12" i="10"/>
  <c r="N47" i="26" l="1"/>
  <c r="W9" i="26"/>
  <c r="N9" i="26"/>
  <c r="P9" i="26" s="1"/>
  <c r="I9" i="26"/>
  <c r="H20" i="26"/>
  <c r="H12" i="26"/>
  <c r="N12" i="26" s="1"/>
  <c r="L9" i="26"/>
  <c r="L12" i="26" s="1"/>
  <c r="W14" i="26"/>
  <c r="N14" i="26"/>
  <c r="P14" i="26"/>
  <c r="R14" i="26" s="1"/>
  <c r="T14" i="26" s="1"/>
  <c r="L14" i="26"/>
  <c r="I14" i="26"/>
  <c r="H15" i="26"/>
  <c r="J27" i="10"/>
  <c r="N27" i="10" s="1"/>
  <c r="N62" i="26"/>
  <c r="J31" i="10" s="1"/>
  <c r="N31" i="10" s="1"/>
  <c r="F45" i="18"/>
  <c r="I45" i="18"/>
  <c r="I49" i="2"/>
  <c r="I27" i="2" s="1"/>
  <c r="H49" i="2"/>
  <c r="H27" i="2" s="1"/>
  <c r="G49" i="2"/>
  <c r="G27" i="2" s="1"/>
  <c r="F68" i="2"/>
  <c r="G68" i="2"/>
  <c r="H68" i="2"/>
  <c r="I68" i="2"/>
  <c r="E68" i="2"/>
  <c r="R9" i="26" l="1"/>
  <c r="X9" i="26"/>
  <c r="O9" i="26"/>
  <c r="Q9" i="26" s="1"/>
  <c r="W15" i="26"/>
  <c r="N15" i="26"/>
  <c r="P15" i="26"/>
  <c r="R15" i="26" s="1"/>
  <c r="T15" i="26" s="1"/>
  <c r="H18" i="26"/>
  <c r="N18" i="26" s="1"/>
  <c r="L15" i="26"/>
  <c r="I15" i="26"/>
  <c r="N58" i="26"/>
  <c r="J28" i="10" s="1"/>
  <c r="N28" i="10" s="1"/>
  <c r="X14" i="26"/>
  <c r="O14" i="26"/>
  <c r="Q14" i="26" s="1"/>
  <c r="S14" i="26" s="1"/>
  <c r="U14" i="26" s="1"/>
  <c r="L18" i="26"/>
  <c r="W20" i="26"/>
  <c r="N20" i="26"/>
  <c r="I20" i="26"/>
  <c r="L20" i="26"/>
  <c r="H21" i="26"/>
  <c r="N52" i="26"/>
  <c r="J23" i="10" s="1"/>
  <c r="N23" i="10" s="1"/>
  <c r="J19" i="10"/>
  <c r="N19" i="10" s="1"/>
  <c r="E35" i="19"/>
  <c r="E49" i="2"/>
  <c r="E27" i="2" s="1"/>
  <c r="S9" i="26" l="1"/>
  <c r="U9" i="26" s="1"/>
  <c r="N63" i="26"/>
  <c r="J32" i="10" s="1"/>
  <c r="N32" i="10" s="1"/>
  <c r="L23" i="26"/>
  <c r="L30" i="26" s="1"/>
  <c r="X20" i="26"/>
  <c r="Q20" i="26"/>
  <c r="S20" i="26"/>
  <c r="U20" i="26" s="1"/>
  <c r="O20" i="26"/>
  <c r="N59" i="26"/>
  <c r="J29" i="10" s="1"/>
  <c r="X15" i="26"/>
  <c r="O15" i="26"/>
  <c r="N35" i="26" s="1"/>
  <c r="W21" i="26"/>
  <c r="N21" i="26"/>
  <c r="L21" i="26"/>
  <c r="I21" i="26"/>
  <c r="H23" i="26"/>
  <c r="P20" i="26"/>
  <c r="R20" i="26" s="1"/>
  <c r="T9" i="26"/>
  <c r="C34" i="18"/>
  <c r="C33" i="19"/>
  <c r="D68" i="2"/>
  <c r="C68" i="2"/>
  <c r="N36" i="26" l="1"/>
  <c r="K36" i="2" s="1"/>
  <c r="K35" i="2"/>
  <c r="H30" i="26"/>
  <c r="N23" i="26"/>
  <c r="X21" i="26"/>
  <c r="N64" i="26" s="1"/>
  <c r="J33" i="10" s="1"/>
  <c r="Q21" i="26"/>
  <c r="S21" i="26"/>
  <c r="U21" i="26" s="1"/>
  <c r="O21" i="26"/>
  <c r="N32" i="26" s="1"/>
  <c r="P21" i="26"/>
  <c r="R21" i="26" s="1"/>
  <c r="T21" i="26" s="1"/>
  <c r="T20" i="26"/>
  <c r="P32" i="26"/>
  <c r="Q15" i="26"/>
  <c r="O32" i="26"/>
  <c r="L13" i="2"/>
  <c r="C34" i="14"/>
  <c r="N38" i="26" l="1"/>
  <c r="K110" i="2" s="1"/>
  <c r="N33" i="26"/>
  <c r="K13" i="2"/>
  <c r="P33" i="26"/>
  <c r="M13" i="2"/>
  <c r="Q32" i="26"/>
  <c r="S15" i="26"/>
  <c r="O35" i="26"/>
  <c r="O38" i="26" s="1"/>
  <c r="L110" i="2" s="1"/>
  <c r="O33" i="26"/>
  <c r="L14" i="2"/>
  <c r="E45" i="18"/>
  <c r="G45" i="18"/>
  <c r="H45" i="18"/>
  <c r="O39" i="26" l="1"/>
  <c r="L111" i="2" s="1"/>
  <c r="N49" i="26"/>
  <c r="J21" i="10" s="1"/>
  <c r="Q33" i="26"/>
  <c r="N54" i="26"/>
  <c r="J25" i="10" s="1"/>
  <c r="N13" i="2"/>
  <c r="O36" i="26"/>
  <c r="L36" i="2" s="1"/>
  <c r="L35" i="2"/>
  <c r="N39" i="26"/>
  <c r="K111" i="2" s="1"/>
  <c r="K14" i="2"/>
  <c r="U15" i="26"/>
  <c r="Q35" i="26" s="1"/>
  <c r="Q38" i="26" s="1"/>
  <c r="N110" i="2" s="1"/>
  <c r="P35" i="26"/>
  <c r="M14" i="2"/>
  <c r="D34" i="18"/>
  <c r="D39" i="18"/>
  <c r="M35" i="2" l="1"/>
  <c r="P36" i="26"/>
  <c r="P38" i="26"/>
  <c r="M110" i="2" s="1"/>
  <c r="N14" i="2"/>
  <c r="Q36" i="26"/>
  <c r="N36" i="2" s="1"/>
  <c r="N53" i="26"/>
  <c r="J24" i="10" s="1"/>
  <c r="N24" i="10" s="1"/>
  <c r="N48" i="26"/>
  <c r="J20" i="10" s="1"/>
  <c r="N20" i="10" s="1"/>
  <c r="N35" i="2"/>
  <c r="G39" i="18"/>
  <c r="H39" i="18"/>
  <c r="I39" i="18"/>
  <c r="F39" i="18"/>
  <c r="M36" i="2" l="1"/>
  <c r="P39" i="26"/>
  <c r="M111" i="2" s="1"/>
  <c r="Q39" i="26"/>
  <c r="N111" i="2" s="1"/>
  <c r="F50" i="14"/>
  <c r="F53" i="14"/>
  <c r="F34" i="18" l="1"/>
  <c r="G34" i="18"/>
  <c r="H34" i="18"/>
  <c r="I34" i="18"/>
  <c r="E39" i="18"/>
  <c r="E10" i="3" s="1"/>
  <c r="E34" i="18"/>
  <c r="G19" i="14"/>
  <c r="H19" i="14"/>
  <c r="I19" i="14"/>
  <c r="J19" i="14"/>
  <c r="E8" i="3" l="1"/>
  <c r="E50" i="18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B57" i="10"/>
  <c r="H23" i="10" l="1"/>
  <c r="F64" i="18"/>
  <c r="C64" i="18" l="1"/>
  <c r="D17" i="2" l="1"/>
  <c r="D9" i="2" s="1"/>
  <c r="D112" i="2"/>
  <c r="D9" i="18" s="1"/>
  <c r="D49" i="2"/>
  <c r="C49" i="2"/>
  <c r="D27" i="2" l="1"/>
  <c r="G110" i="2" l="1"/>
  <c r="K29" i="19" s="1"/>
  <c r="H110" i="2"/>
  <c r="L29" i="19" s="1"/>
  <c r="I110" i="2"/>
  <c r="M29" i="19" s="1"/>
  <c r="F33" i="10" l="1"/>
  <c r="H29" i="10" l="1"/>
  <c r="L14" i="10" l="1"/>
  <c r="D45" i="14" l="1"/>
  <c r="E64" i="18"/>
  <c r="C111" i="2"/>
  <c r="C37" i="19" s="1"/>
  <c r="C31" i="14" s="1"/>
  <c r="C110" i="2"/>
  <c r="C36" i="19" s="1"/>
  <c r="C35" i="19" s="1"/>
  <c r="C81" i="2"/>
  <c r="C17" i="2"/>
  <c r="C9" i="2" l="1"/>
  <c r="C29" i="19"/>
  <c r="G17" i="2"/>
  <c r="C12" i="14" l="1"/>
  <c r="H64" i="18"/>
  <c r="I64" i="18"/>
  <c r="G64" i="18"/>
  <c r="E111" i="2" l="1"/>
  <c r="E37" i="19" s="1"/>
  <c r="I17" i="2"/>
  <c r="H17" i="2"/>
  <c r="F17" i="2"/>
  <c r="H25" i="10" l="1"/>
  <c r="H33" i="10"/>
  <c r="H31" i="10"/>
  <c r="D111" i="2"/>
  <c r="D37" i="19" s="1"/>
  <c r="E110" i="2"/>
  <c r="F110" i="2"/>
  <c r="J29" i="19" s="1"/>
  <c r="D110" i="2"/>
  <c r="D29" i="19" l="1"/>
  <c r="D36" i="19"/>
  <c r="D35" i="19" s="1"/>
  <c r="D64" i="18"/>
  <c r="L13" i="10"/>
  <c r="L16" i="10"/>
  <c r="L19" i="10"/>
  <c r="L20" i="10"/>
  <c r="L21" i="10"/>
  <c r="L23" i="10"/>
  <c r="L24" i="10"/>
  <c r="L25" i="10"/>
  <c r="L27" i="10"/>
  <c r="L28" i="10"/>
  <c r="L29" i="10"/>
  <c r="L31" i="10"/>
  <c r="L32" i="10"/>
  <c r="L33" i="10"/>
  <c r="L12" i="10"/>
  <c r="V22" i="9"/>
  <c r="G7" i="2"/>
  <c r="G97" i="2" s="1"/>
  <c r="D50" i="14"/>
  <c r="C50" i="14"/>
  <c r="V20" i="9"/>
  <c r="V21" i="9"/>
  <c r="V19" i="9"/>
  <c r="D7" i="2"/>
  <c r="D12" i="14"/>
  <c r="D14" i="14"/>
  <c r="D55" i="2"/>
  <c r="D15" i="14" s="1"/>
  <c r="D63" i="2"/>
  <c r="D113" i="2" s="1"/>
  <c r="C27" i="2"/>
  <c r="E7" i="2"/>
  <c r="F11" i="14" s="1"/>
  <c r="E9" i="2"/>
  <c r="F12" i="14" s="1"/>
  <c r="E55" i="2"/>
  <c r="F15" i="14" s="1"/>
  <c r="E63" i="2"/>
  <c r="E94" i="2" s="1"/>
  <c r="F16" i="14" s="1"/>
  <c r="I7" i="2"/>
  <c r="I97" i="2" s="1"/>
  <c r="I9" i="2"/>
  <c r="I55" i="2"/>
  <c r="E15" i="14" s="1"/>
  <c r="G15" i="14" s="1"/>
  <c r="H15" i="14" s="1"/>
  <c r="I15" i="14" s="1"/>
  <c r="J15" i="14" s="1"/>
  <c r="I63" i="2"/>
  <c r="I94" i="2" s="1"/>
  <c r="E16" i="14" s="1"/>
  <c r="G16" i="14" s="1"/>
  <c r="H16" i="14" s="1"/>
  <c r="I16" i="14" s="1"/>
  <c r="J16" i="14" s="1"/>
  <c r="M7" i="9"/>
  <c r="C11" i="20"/>
  <c r="C18" i="20" s="1"/>
  <c r="F29" i="19" s="1"/>
  <c r="D11" i="20"/>
  <c r="D18" i="20" s="1"/>
  <c r="G29" i="19" s="1"/>
  <c r="E11" i="20"/>
  <c r="E17" i="20" s="1"/>
  <c r="F11" i="20"/>
  <c r="F19" i="20" s="1"/>
  <c r="I36" i="19" s="1"/>
  <c r="I35" i="19" s="1"/>
  <c r="C55" i="2"/>
  <c r="C15" i="14" s="1"/>
  <c r="C7" i="2"/>
  <c r="C11" i="14" s="1"/>
  <c r="C63" i="2"/>
  <c r="C94" i="2" s="1"/>
  <c r="C16" i="14" s="1"/>
  <c r="F63" i="2"/>
  <c r="F94" i="2" s="1"/>
  <c r="G63" i="2"/>
  <c r="G94" i="2" s="1"/>
  <c r="H63" i="2"/>
  <c r="F9" i="2"/>
  <c r="F7" i="2"/>
  <c r="F97" i="2" s="1"/>
  <c r="F55" i="2"/>
  <c r="G9" i="2"/>
  <c r="G55" i="2"/>
  <c r="H7" i="2"/>
  <c r="H9" i="2"/>
  <c r="H55" i="2"/>
  <c r="D101" i="2"/>
  <c r="F101" i="2"/>
  <c r="G101" i="2"/>
  <c r="H101" i="2"/>
  <c r="I101" i="2"/>
  <c r="D102" i="2"/>
  <c r="E102" i="2"/>
  <c r="F102" i="2"/>
  <c r="G102" i="2"/>
  <c r="H102" i="2"/>
  <c r="I102" i="2"/>
  <c r="D103" i="2"/>
  <c r="E103" i="2"/>
  <c r="F103" i="2"/>
  <c r="G103" i="2"/>
  <c r="H103" i="2"/>
  <c r="I103" i="2"/>
  <c r="D96" i="2"/>
  <c r="D21" i="14" s="1"/>
  <c r="E96" i="2"/>
  <c r="F21" i="14" s="1"/>
  <c r="F96" i="2"/>
  <c r="G96" i="2"/>
  <c r="H96" i="2"/>
  <c r="I96" i="2"/>
  <c r="E21" i="14" s="1"/>
  <c r="G21" i="14" s="1"/>
  <c r="H21" i="14" s="1"/>
  <c r="I21" i="14" s="1"/>
  <c r="J21" i="14" s="1"/>
  <c r="D95" i="2"/>
  <c r="D20" i="14" s="1"/>
  <c r="E95" i="2"/>
  <c r="F20" i="14" s="1"/>
  <c r="F95" i="2"/>
  <c r="G95" i="2"/>
  <c r="H95" i="2"/>
  <c r="I95" i="2"/>
  <c r="E20" i="14" s="1"/>
  <c r="G20" i="14" s="1"/>
  <c r="H20" i="14" s="1"/>
  <c r="I20" i="14" s="1"/>
  <c r="J20" i="14" s="1"/>
  <c r="C9" i="18"/>
  <c r="C21" i="18"/>
  <c r="C67" i="18"/>
  <c r="C68" i="18"/>
  <c r="C50" i="18"/>
  <c r="C36" i="14" s="1"/>
  <c r="E21" i="18"/>
  <c r="E67" i="18"/>
  <c r="E68" i="18"/>
  <c r="I9" i="18"/>
  <c r="I50" i="18"/>
  <c r="E36" i="14" s="1"/>
  <c r="G36" i="14" s="1"/>
  <c r="H36" i="14" s="1"/>
  <c r="I36" i="14" s="1"/>
  <c r="J36" i="14" s="1"/>
  <c r="C21" i="19"/>
  <c r="C20" i="19"/>
  <c r="E8" i="19"/>
  <c r="C53" i="14"/>
  <c r="K53" i="9"/>
  <c r="O53" i="9"/>
  <c r="M47" i="9"/>
  <c r="M48" i="9"/>
  <c r="M49" i="9"/>
  <c r="G36" i="9"/>
  <c r="F45" i="14"/>
  <c r="C102" i="2"/>
  <c r="C103" i="2"/>
  <c r="C6" i="3"/>
  <c r="C41" i="14" s="1"/>
  <c r="D21" i="18"/>
  <c r="D67" i="18"/>
  <c r="D68" i="18"/>
  <c r="D50" i="18"/>
  <c r="D36" i="14" s="1"/>
  <c r="F9" i="18"/>
  <c r="F50" i="18"/>
  <c r="G9" i="18"/>
  <c r="G50" i="18"/>
  <c r="H9" i="18"/>
  <c r="H50" i="18"/>
  <c r="E38" i="14"/>
  <c r="G38" i="14" s="1"/>
  <c r="H38" i="14" s="1"/>
  <c r="I38" i="14" s="1"/>
  <c r="J38" i="14" s="1"/>
  <c r="E29" i="14"/>
  <c r="G29" i="14" s="1"/>
  <c r="H29" i="14" s="1"/>
  <c r="I29" i="14" s="1"/>
  <c r="J29" i="14" s="1"/>
  <c r="C22" i="19"/>
  <c r="C28" i="14" s="1"/>
  <c r="C25" i="19"/>
  <c r="C30" i="14" s="1"/>
  <c r="D22" i="19"/>
  <c r="D28" i="14" s="1"/>
  <c r="E22" i="19"/>
  <c r="F28" i="14" s="1"/>
  <c r="D21" i="19"/>
  <c r="E21" i="19"/>
  <c r="D20" i="19"/>
  <c r="E20" i="19"/>
  <c r="D8" i="19"/>
  <c r="C8" i="19"/>
  <c r="C96" i="2"/>
  <c r="C21" i="14" s="1"/>
  <c r="C95" i="2"/>
  <c r="C20" i="14" s="1"/>
  <c r="D53" i="14"/>
  <c r="E53" i="9"/>
  <c r="AC11" i="9"/>
  <c r="Z11" i="9"/>
  <c r="W11" i="9"/>
  <c r="T11" i="9"/>
  <c r="Q11" i="9"/>
  <c r="I6" i="3"/>
  <c r="E41" i="14" s="1"/>
  <c r="H6" i="3"/>
  <c r="G6" i="3"/>
  <c r="F6" i="3"/>
  <c r="F29" i="14"/>
  <c r="D29" i="14"/>
  <c r="C29" i="14"/>
  <c r="M52" i="9"/>
  <c r="M51" i="9"/>
  <c r="M50" i="9"/>
  <c r="M46" i="9"/>
  <c r="S53" i="9"/>
  <c r="Q53" i="9"/>
  <c r="I53" i="9"/>
  <c r="G53" i="9"/>
  <c r="T36" i="9"/>
  <c r="S36" i="9"/>
  <c r="R36" i="9"/>
  <c r="Q36" i="9"/>
  <c r="P36" i="9"/>
  <c r="O36" i="9"/>
  <c r="J36" i="9"/>
  <c r="I36" i="9"/>
  <c r="H36" i="9"/>
  <c r="AD23" i="9"/>
  <c r="V23" i="9" s="1"/>
  <c r="AB23" i="9"/>
  <c r="Z23" i="9"/>
  <c r="X23" i="9"/>
  <c r="M10" i="9"/>
  <c r="M9" i="9"/>
  <c r="M8" i="9"/>
  <c r="K66" i="10"/>
  <c r="E6" i="3"/>
  <c r="F41" i="14" s="1"/>
  <c r="D6" i="3"/>
  <c r="D41" i="14" s="1"/>
  <c r="C45" i="14"/>
  <c r="F38" i="14"/>
  <c r="D38" i="14"/>
  <c r="C38" i="14"/>
  <c r="D34" i="14"/>
  <c r="F31" i="14"/>
  <c r="D31" i="14"/>
  <c r="F23" i="14"/>
  <c r="D23" i="14"/>
  <c r="C23" i="14"/>
  <c r="B21" i="14"/>
  <c r="B45" i="14"/>
  <c r="B44" i="14"/>
  <c r="B43" i="14"/>
  <c r="B41" i="14"/>
  <c r="B38" i="14"/>
  <c r="B37" i="14"/>
  <c r="B36" i="14"/>
  <c r="B35" i="14"/>
  <c r="B39" i="14"/>
  <c r="B34" i="14"/>
  <c r="B32" i="14"/>
  <c r="B31" i="14"/>
  <c r="B30" i="14"/>
  <c r="B28" i="14"/>
  <c r="B27" i="14"/>
  <c r="B25" i="14"/>
  <c r="B24" i="14"/>
  <c r="B23" i="14"/>
  <c r="B22" i="14"/>
  <c r="B20" i="14"/>
  <c r="B19" i="14"/>
  <c r="B18" i="14"/>
  <c r="B17" i="14"/>
  <c r="B16" i="14"/>
  <c r="B14" i="14"/>
  <c r="B15" i="14"/>
  <c r="B13" i="14"/>
  <c r="B12" i="14"/>
  <c r="B11" i="14"/>
  <c r="D17" i="11" l="1"/>
  <c r="D18" i="11"/>
  <c r="F17" i="11"/>
  <c r="F18" i="11"/>
  <c r="G17" i="11"/>
  <c r="E47" i="14"/>
  <c r="C105" i="2"/>
  <c r="C98" i="2"/>
  <c r="C14" i="14"/>
  <c r="F14" i="14"/>
  <c r="H111" i="2"/>
  <c r="D19" i="19"/>
  <c r="D27" i="14" s="1"/>
  <c r="D25" i="19"/>
  <c r="D30" i="14" s="1"/>
  <c r="D94" i="2"/>
  <c r="D16" i="14" s="1"/>
  <c r="D114" i="2"/>
  <c r="E25" i="19"/>
  <c r="F30" i="14" s="1"/>
  <c r="G22" i="2"/>
  <c r="E12" i="14"/>
  <c r="G12" i="14" s="1"/>
  <c r="H12" i="14" s="1"/>
  <c r="I12" i="14" s="1"/>
  <c r="J12" i="14" s="1"/>
  <c r="E78" i="18"/>
  <c r="F37" i="14" s="1"/>
  <c r="F36" i="14"/>
  <c r="C97" i="2"/>
  <c r="D98" i="2"/>
  <c r="C17" i="20"/>
  <c r="C19" i="20"/>
  <c r="F36" i="19" s="1"/>
  <c r="F35" i="19" s="1"/>
  <c r="F25" i="19" s="1"/>
  <c r="F17" i="20"/>
  <c r="C19" i="19"/>
  <c r="C38" i="19" s="1"/>
  <c r="C32" i="14" s="1"/>
  <c r="D22" i="2"/>
  <c r="D13" i="14" s="1"/>
  <c r="I22" i="2"/>
  <c r="E13" i="14" s="1"/>
  <c r="D19" i="20"/>
  <c r="G36" i="19" s="1"/>
  <c r="G35" i="19" s="1"/>
  <c r="G25" i="19" s="1"/>
  <c r="E19" i="19"/>
  <c r="F27" i="14" s="1"/>
  <c r="C78" i="18"/>
  <c r="C37" i="14" s="1"/>
  <c r="E18" i="20"/>
  <c r="H29" i="19" s="1"/>
  <c r="E19" i="20"/>
  <c r="H36" i="19" s="1"/>
  <c r="H35" i="19" s="1"/>
  <c r="F18" i="20"/>
  <c r="D17" i="20"/>
  <c r="F22" i="2"/>
  <c r="C22" i="2"/>
  <c r="E11" i="14"/>
  <c r="G11" i="14" s="1"/>
  <c r="H11" i="14" s="1"/>
  <c r="I11" i="14" s="1"/>
  <c r="J11" i="14" s="1"/>
  <c r="E97" i="2"/>
  <c r="E22" i="2"/>
  <c r="E76" i="2" s="1"/>
  <c r="D97" i="2"/>
  <c r="D11" i="14"/>
  <c r="E98" i="2"/>
  <c r="M53" i="9"/>
  <c r="G41" i="14"/>
  <c r="H41" i="14" s="1"/>
  <c r="I41" i="14" s="1"/>
  <c r="J41" i="14" s="1"/>
  <c r="M11" i="9"/>
  <c r="C114" i="2"/>
  <c r="D78" i="18"/>
  <c r="D37" i="14" s="1"/>
  <c r="H22" i="2"/>
  <c r="I29" i="19" l="1"/>
  <c r="I25" i="19" s="1"/>
  <c r="E30" i="14" s="1"/>
  <c r="G30" i="14" s="1"/>
  <c r="H30" i="14" s="1"/>
  <c r="I30" i="14" s="1"/>
  <c r="J30" i="14" s="1"/>
  <c r="G7" i="11"/>
  <c r="G18" i="11"/>
  <c r="H37" i="19"/>
  <c r="M112" i="2"/>
  <c r="C13" i="14"/>
  <c r="D7" i="11" s="1"/>
  <c r="C76" i="2"/>
  <c r="E113" i="2"/>
  <c r="E114" i="2" s="1"/>
  <c r="D38" i="19"/>
  <c r="D32" i="14" s="1"/>
  <c r="C27" i="14"/>
  <c r="D76" i="2"/>
  <c r="D86" i="2" s="1"/>
  <c r="E38" i="19"/>
  <c r="F32" i="14" s="1"/>
  <c r="H25" i="19"/>
  <c r="G13" i="14"/>
  <c r="F13" i="14"/>
  <c r="F7" i="11" s="1"/>
  <c r="D100" i="2" l="1"/>
  <c r="D105" i="2" s="1"/>
  <c r="D18" i="14" s="1"/>
  <c r="C86" i="2"/>
  <c r="C17" i="14"/>
  <c r="C18" i="14"/>
  <c r="F111" i="2"/>
  <c r="K112" i="2" s="1"/>
  <c r="F27" i="2"/>
  <c r="F76" i="2" s="1"/>
  <c r="F86" i="2" s="1"/>
  <c r="I111" i="2"/>
  <c r="N112" i="2" s="1"/>
  <c r="G111" i="2"/>
  <c r="L112" i="2" s="1"/>
  <c r="G76" i="2"/>
  <c r="F22" i="19"/>
  <c r="F21" i="18"/>
  <c r="D17" i="14"/>
  <c r="H13" i="14"/>
  <c r="E86" i="2"/>
  <c r="E100" i="2"/>
  <c r="E105" i="2" s="1"/>
  <c r="F18" i="14" s="1"/>
  <c r="F17" i="14"/>
  <c r="D22" i="14"/>
  <c r="D7" i="18"/>
  <c r="D15" i="18" s="1"/>
  <c r="D89" i="2"/>
  <c r="D17" i="19" s="1"/>
  <c r="F13" i="11" l="1"/>
  <c r="F8" i="11"/>
  <c r="D13" i="11"/>
  <c r="D8" i="11"/>
  <c r="C19" i="14" s="1"/>
  <c r="C22" i="14"/>
  <c r="C89" i="2"/>
  <c r="C17" i="19" s="1"/>
  <c r="G37" i="19"/>
  <c r="I37" i="19"/>
  <c r="E31" i="14" s="1"/>
  <c r="G31" i="14" s="1"/>
  <c r="H31" i="14" s="1"/>
  <c r="I31" i="14" s="1"/>
  <c r="J31" i="14" s="1"/>
  <c r="F37" i="19"/>
  <c r="D20" i="18"/>
  <c r="D22" i="18" s="1"/>
  <c r="D83" i="18" s="1"/>
  <c r="C91" i="2"/>
  <c r="C7" i="18"/>
  <c r="C15" i="18" s="1"/>
  <c r="E14" i="14"/>
  <c r="G14" i="14" s="1"/>
  <c r="H14" i="14" s="1"/>
  <c r="I14" i="14" s="1"/>
  <c r="J14" i="14" s="1"/>
  <c r="I76" i="2"/>
  <c r="F100" i="2"/>
  <c r="F105" i="2" s="1"/>
  <c r="F7" i="18"/>
  <c r="F98" i="2"/>
  <c r="F113" i="2" s="1"/>
  <c r="F114" i="2" s="1"/>
  <c r="G100" i="2"/>
  <c r="G105" i="2" s="1"/>
  <c r="G86" i="2"/>
  <c r="I98" i="2"/>
  <c r="I113" i="2" s="1"/>
  <c r="I114" i="2" s="1"/>
  <c r="E23" i="14"/>
  <c r="I22" i="19"/>
  <c r="E28" i="14" s="1"/>
  <c r="I21" i="18"/>
  <c r="G21" i="18"/>
  <c r="G22" i="19"/>
  <c r="G98" i="2"/>
  <c r="J13" i="14"/>
  <c r="I13" i="14"/>
  <c r="E7" i="18"/>
  <c r="E15" i="18" s="1"/>
  <c r="E20" i="18" s="1"/>
  <c r="E89" i="2"/>
  <c r="F22" i="14"/>
  <c r="D24" i="14"/>
  <c r="D91" i="2"/>
  <c r="D90" i="2"/>
  <c r="C20" i="18" l="1"/>
  <c r="C22" i="18" s="1"/>
  <c r="C83" i="18" s="1"/>
  <c r="C24" i="14"/>
  <c r="D82" i="18"/>
  <c r="D39" i="14" s="1"/>
  <c r="D35" i="14"/>
  <c r="C90" i="2"/>
  <c r="G17" i="14"/>
  <c r="G22" i="14" s="1"/>
  <c r="G7" i="18"/>
  <c r="G15" i="18" s="1"/>
  <c r="G89" i="2"/>
  <c r="F15" i="18"/>
  <c r="F89" i="2"/>
  <c r="I86" i="2"/>
  <c r="E17" i="14"/>
  <c r="I100" i="2"/>
  <c r="I105" i="2" s="1"/>
  <c r="E18" i="14" s="1"/>
  <c r="G113" i="2"/>
  <c r="G114" i="2" s="1"/>
  <c r="F67" i="18"/>
  <c r="F20" i="19"/>
  <c r="F8" i="19"/>
  <c r="E22" i="18"/>
  <c r="E83" i="18" s="1"/>
  <c r="F34" i="14"/>
  <c r="E91" i="2"/>
  <c r="E90" i="2"/>
  <c r="F24" i="14"/>
  <c r="E17" i="19"/>
  <c r="F11" i="11" l="1"/>
  <c r="F9" i="11"/>
  <c r="F10" i="11"/>
  <c r="D10" i="11"/>
  <c r="C44" i="14" s="1"/>
  <c r="D11" i="11"/>
  <c r="C25" i="14" s="1"/>
  <c r="D9" i="11"/>
  <c r="C43" i="14" s="1"/>
  <c r="G18" i="14"/>
  <c r="H18" i="14" s="1"/>
  <c r="I18" i="14" s="1"/>
  <c r="J18" i="14" s="1"/>
  <c r="G8" i="11"/>
  <c r="C82" i="18"/>
  <c r="C35" i="14"/>
  <c r="D49" i="14"/>
  <c r="F20" i="18"/>
  <c r="F22" i="18" s="1"/>
  <c r="F83" i="18" s="1"/>
  <c r="G20" i="18"/>
  <c r="G22" i="18" s="1"/>
  <c r="F90" i="2"/>
  <c r="F91" i="2"/>
  <c r="G90" i="2"/>
  <c r="G91" i="2"/>
  <c r="H17" i="14"/>
  <c r="H22" i="14" s="1"/>
  <c r="E22" i="14"/>
  <c r="I89" i="2"/>
  <c r="I7" i="18"/>
  <c r="I15" i="18" s="1"/>
  <c r="G23" i="14"/>
  <c r="G28" i="14" s="1"/>
  <c r="E82" i="18"/>
  <c r="H80" i="18" s="1"/>
  <c r="D44" i="14"/>
  <c r="F68" i="18"/>
  <c r="F78" i="18" s="1"/>
  <c r="F21" i="19"/>
  <c r="F19" i="19" s="1"/>
  <c r="F38" i="19" s="1"/>
  <c r="G67" i="18"/>
  <c r="G20" i="19"/>
  <c r="F35" i="14"/>
  <c r="H7" i="19"/>
  <c r="F7" i="19"/>
  <c r="F17" i="19" s="1"/>
  <c r="G7" i="19"/>
  <c r="I7" i="19"/>
  <c r="C39" i="14" l="1"/>
  <c r="C49" i="14"/>
  <c r="I20" i="18"/>
  <c r="I22" i="18" s="1"/>
  <c r="G24" i="14"/>
  <c r="G27" i="14" s="1"/>
  <c r="G32" i="14" s="1"/>
  <c r="J17" i="14"/>
  <c r="J22" i="14" s="1"/>
  <c r="I17" i="14"/>
  <c r="I22" i="14" s="1"/>
  <c r="E24" i="14"/>
  <c r="I91" i="2"/>
  <c r="I90" i="2"/>
  <c r="H23" i="14"/>
  <c r="H28" i="14" s="1"/>
  <c r="F44" i="14"/>
  <c r="F39" i="14"/>
  <c r="G68" i="18"/>
  <c r="G78" i="18" s="1"/>
  <c r="G83" i="18" s="1"/>
  <c r="G21" i="19"/>
  <c r="G19" i="19" s="1"/>
  <c r="G38" i="19" s="1"/>
  <c r="G8" i="19"/>
  <c r="G17" i="19" s="1"/>
  <c r="I80" i="18"/>
  <c r="F80" i="18"/>
  <c r="G80" i="18"/>
  <c r="G82" i="18" s="1"/>
  <c r="F49" i="14"/>
  <c r="G11" i="11" l="1"/>
  <c r="E56" i="14"/>
  <c r="E35" i="14"/>
  <c r="G35" i="14" s="1"/>
  <c r="H35" i="14" s="1"/>
  <c r="I35" i="14" s="1"/>
  <c r="J35" i="14" s="1"/>
  <c r="I82" i="18"/>
  <c r="G25" i="14"/>
  <c r="J23" i="14"/>
  <c r="J28" i="14" s="1"/>
  <c r="H24" i="14"/>
  <c r="I23" i="14"/>
  <c r="I28" i="14" s="1"/>
  <c r="F82" i="18"/>
  <c r="E34" i="14"/>
  <c r="H97" i="2"/>
  <c r="G10" i="11" l="1"/>
  <c r="J24" i="14"/>
  <c r="J25" i="14" s="1"/>
  <c r="H25" i="14"/>
  <c r="H27" i="14"/>
  <c r="H32" i="14" s="1"/>
  <c r="I24" i="14"/>
  <c r="H76" i="2"/>
  <c r="H100" i="2" s="1"/>
  <c r="H105" i="2" s="1"/>
  <c r="H94" i="2"/>
  <c r="J27" i="14" l="1"/>
  <c r="J32" i="14" s="1"/>
  <c r="I27" i="14"/>
  <c r="I32" i="14" s="1"/>
  <c r="I25" i="14"/>
  <c r="H86" i="2"/>
  <c r="H7" i="18" l="1"/>
  <c r="H15" i="18" s="1"/>
  <c r="H20" i="18" s="1"/>
  <c r="H21" i="18" l="1"/>
  <c r="H22" i="18" s="1"/>
  <c r="H22" i="19"/>
  <c r="H98" i="2"/>
  <c r="H113" i="2" s="1"/>
  <c r="H114" i="2" s="1"/>
  <c r="H89" i="2"/>
  <c r="H82" i="18" l="1"/>
  <c r="H90" i="2"/>
  <c r="H91" i="2"/>
  <c r="H8" i="19" l="1"/>
  <c r="H17" i="19" s="1"/>
  <c r="H67" i="18"/>
  <c r="H20" i="19"/>
  <c r="I20" i="19" l="1"/>
  <c r="I67" i="18"/>
  <c r="H21" i="19"/>
  <c r="H19" i="19" s="1"/>
  <c r="H38" i="19" s="1"/>
  <c r="I8" i="19"/>
  <c r="I17" i="19" s="1"/>
  <c r="H68" i="18"/>
  <c r="H78" i="18" s="1"/>
  <c r="H83" i="18" s="1"/>
  <c r="I68" i="18" l="1"/>
  <c r="I78" i="18" s="1"/>
  <c r="I83" i="18" s="1"/>
  <c r="I21" i="19"/>
  <c r="I19" i="19" s="1"/>
  <c r="E27" i="14" l="1"/>
  <c r="E44" i="14" s="1"/>
  <c r="I38" i="19"/>
  <c r="E32" i="14" s="1"/>
  <c r="E37" i="14"/>
  <c r="G37" i="14" l="1"/>
  <c r="H37" i="14" s="1"/>
  <c r="I37" i="14" s="1"/>
  <c r="J37" i="14" s="1"/>
  <c r="E49" i="14"/>
  <c r="E39" i="14"/>
  <c r="G34" i="14" s="1"/>
  <c r="G39" i="14" l="1"/>
  <c r="H34" i="14" s="1"/>
  <c r="H39" i="14" s="1"/>
  <c r="I34" i="14" s="1"/>
  <c r="I39" i="14" s="1"/>
  <c r="J34" i="14" s="1"/>
  <c r="J39" i="14" s="1"/>
  <c r="D43" i="14" l="1"/>
  <c r="F43" i="14"/>
  <c r="E50" i="14" l="1"/>
  <c r="E52" i="14"/>
  <c r="G14" i="11"/>
  <c r="E45" i="14"/>
  <c r="G9" i="11"/>
  <c r="E43" i="14"/>
  <c r="E53" i="14"/>
  <c r="G15" i="11"/>
  <c r="G13" i="11"/>
</calcChain>
</file>

<file path=xl/comments1.xml><?xml version="1.0" encoding="utf-8"?>
<comments xmlns="http://schemas.openxmlformats.org/spreadsheetml/2006/main">
  <authors>
    <author>1235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 ІІ півріччя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  <charset val="204"/>
          </rPr>
          <t>другий заступник з ІІ півріччя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04"/>
          </rPr>
          <t>з 05.2020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<sst xmlns="http://schemas.openxmlformats.org/spreadsheetml/2006/main" count="808" uniqueCount="566">
  <si>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</si>
  <si>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</si>
  <si>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</si>
  <si>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</si>
  <si>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</si>
  <si>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</si>
  <si>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</si>
  <si>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</si>
  <si>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</si>
  <si>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</si>
  <si>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</si>
  <si>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</si>
  <si>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</si>
  <si>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</si>
  <si>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</si>
  <si>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</si>
  <si>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</si>
  <si>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</si>
  <si>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</si>
  <si>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Додаток 1</t>
  </si>
  <si>
    <t>Територія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</si>
  <si>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</si>
  <si>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</si>
  <si>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</si>
  <si>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</si>
  <si>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</si>
  <si>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</si>
  <si>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</si>
  <si>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</si>
  <si>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</si>
  <si>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</si>
  <si>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</si>
  <si>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</si>
  <si>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</si>
  <si>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</si>
  <si>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</si>
  <si>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</si>
  <si>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</si>
  <si>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</si>
  <si>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</si>
  <si>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</si>
  <si>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</si>
  <si>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</si>
  <si>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</si>
  <si>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</si>
  <si>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</si>
  <si>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</si>
  <si>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</si>
  <si>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</si>
  <si>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</si>
  <si>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</si>
  <si>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</si>
  <si>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</si>
  <si>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</si>
  <si>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</si>
  <si>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</si>
  <si>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</si>
  <si>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</si>
  <si>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</si>
  <si>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</si>
  <si>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</si>
  <si>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</si>
  <si>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</si>
  <si>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</si>
  <si>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</si>
  <si>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</si>
  <si>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</si>
  <si>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</si>
  <si>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</si>
  <si>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</si>
  <si>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</si>
  <si>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</si>
  <si>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</si>
  <si>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</si>
  <si>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</si>
  <si>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</si>
  <si>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</si>
  <si>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</si>
  <si>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</si>
  <si>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</si>
  <si>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</si>
  <si>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</si>
  <si>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</si>
  <si>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</si>
  <si>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</si>
  <si>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</si>
  <si>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</si>
  <si>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</si>
  <si>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</si>
  <si>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</si>
  <si>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</si>
  <si>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</si>
  <si>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</si>
  <si>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</si>
  <si>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</si>
  <si>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</si>
  <si>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</si>
  <si>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</si>
  <si>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</si>
  <si>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</si>
  <si>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</si>
  <si>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</si>
  <si>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</si>
  <si>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</si>
  <si>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</si>
  <si>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</si>
  <si>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</si>
  <si>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</si>
  <si>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</si>
  <si>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</si>
  <si>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Факт за звітний період поточного року на останню дату</t>
  </si>
  <si>
    <t>Планові показники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</si>
  <si>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</si>
  <si>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</si>
  <si>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</si>
  <si>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</si>
  <si>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</si>
  <si>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</si>
  <si>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</si>
  <si>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</si>
  <si>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</si>
  <si>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</si>
  <si>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</si>
  <si>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</si>
  <si>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</si>
  <si>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</si>
  <si>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</si>
  <si>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</si>
  <si>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</si>
  <si>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</si>
  <si>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</si>
  <si>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</si>
  <si>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</si>
  <si>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</si>
  <si>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</si>
  <si>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</si>
  <si>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</si>
  <si>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</si>
  <si>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</si>
  <si>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</si>
  <si>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</si>
  <si>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</si>
  <si>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</si>
  <si>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</si>
  <si>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</si>
  <si>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</si>
  <si>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</si>
  <si>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</si>
  <si>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</si>
  <si>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</si>
  <si>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Плановий рік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</si>
  <si>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</si>
  <si>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</si>
  <si>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</si>
  <si>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</si>
  <si>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</si>
  <si>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</si>
  <si>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</si>
  <si>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</si>
  <si>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</si>
  <si>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</si>
  <si>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</si>
  <si>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</si>
  <si>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</si>
  <si>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</si>
  <si>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</si>
  <si>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</si>
  <si>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</si>
  <si>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</si>
  <si>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</si>
  <si>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</si>
  <si>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</si>
  <si>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</si>
  <si>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</si>
  <si>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</si>
  <si>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</si>
  <si>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</si>
  <si>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</si>
  <si>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</si>
  <si>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</si>
  <si>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</si>
  <si>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</si>
  <si>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Прогноз на поточний рік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</si>
  <si>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</si>
  <si>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</si>
  <si>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</si>
  <si>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</si>
  <si>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</si>
  <si>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</si>
  <si>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</si>
  <si>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</si>
  <si>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</si>
  <si>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</si>
  <si>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</si>
  <si>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</si>
  <si>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</si>
  <si>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</si>
  <si>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</si>
  <si>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</si>
  <si>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</si>
  <si>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</si>
  <si>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</si>
  <si>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</si>
  <si>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</si>
  <si>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</si>
  <si>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</si>
  <si>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</si>
  <si>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</si>
  <si>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</si>
  <si>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</si>
  <si>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</si>
  <si>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</si>
  <si>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</si>
  <si>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</si>
  <si>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</si>
  <si>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</si>
  <si>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</si>
  <si>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</si>
  <si>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</si>
  <si>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</si>
  <si>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</si>
  <si>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</si>
  <si>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</si>
  <si>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</si>
  <si>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</si>
  <si>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</si>
  <si>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</si>
  <si>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</si>
  <si>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</si>
  <si>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</si>
  <si>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</si>
  <si>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</si>
  <si>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</si>
  <si>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</si>
  <si>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</si>
  <si>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</si>
  <si>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</si>
  <si>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</si>
  <si>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</si>
  <si>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</si>
  <si>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</si>
  <si>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</si>
  <si>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</si>
  <si>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</si>
  <si>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</si>
  <si>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</si>
  <si>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</si>
  <si>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</si>
  <si>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</si>
  <si>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</si>
  <si>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</si>
  <si>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</si>
  <si>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</si>
  <si>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</si>
  <si>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</si>
  <si>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</si>
  <si>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</si>
  <si>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</si>
  <si>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</si>
  <si>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</si>
  <si>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_________________________</t>
  </si>
  <si>
    <t>____________________________________________</t>
  </si>
  <si>
    <t>Коди</t>
  </si>
  <si>
    <t>інші операційні витрати (розшифрувати)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</si>
  <si>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</si>
  <si>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</si>
  <si>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</si>
  <si>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</si>
  <si>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</si>
  <si>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</si>
  <si>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</si>
  <si>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</si>
  <si>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</si>
  <si>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</si>
  <si>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</si>
  <si>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</si>
  <si>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</si>
  <si>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</si>
  <si>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</si>
  <si>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</si>
  <si>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</si>
  <si>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</si>
  <si>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</si>
  <si>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</si>
  <si>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</si>
  <si>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</si>
  <si>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</si>
  <si>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</si>
  <si>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</si>
  <si>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</si>
  <si>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</si>
  <si>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</si>
  <si>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Плановий рік до плану поточного року, %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</si>
  <si>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</si>
  <si>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</si>
  <si>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</si>
  <si>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</si>
  <si>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</si>
  <si>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</si>
  <si>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</si>
  <si>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</si>
  <si>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                    (підпис)</t>
  </si>
  <si>
    <r>
      <t xml:space="preserve">Керівник </t>
    </r>
    <r>
      <rPr>
        <sz val="14"/>
        <rFont val="Times New Roman"/>
        <family val="1"/>
        <charset val="204"/>
      </rPr>
      <t>______________________________</t>
    </r>
  </si>
  <si>
    <t xml:space="preserve">                                     (посада)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</si>
  <si>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</si>
  <si>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</si>
  <si>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</si>
  <si>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</si>
  <si>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</si>
  <si>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</si>
  <si>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</si>
  <si>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</si>
  <si>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</si>
  <si>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</si>
  <si>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</si>
  <si>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</si>
  <si>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</si>
  <si>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</si>
  <si>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</si>
  <si>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</si>
  <si>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</si>
  <si>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</si>
  <si>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</si>
  <si>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</si>
  <si>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</si>
  <si>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</si>
  <si>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</si>
  <si>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</si>
  <si>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</si>
  <si>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</si>
  <si>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</si>
  <si>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</si>
  <si>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</si>
  <si>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</si>
  <si>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</si>
  <si>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</si>
  <si>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</si>
  <si>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 xml:space="preserve">               (підпис)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</si>
  <si>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</si>
  <si>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</si>
  <si>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</si>
  <si>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</si>
  <si>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</si>
  <si>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</si>
  <si>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</si>
  <si>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</si>
  <si>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 xml:space="preserve">      Загальна інформація про підприємство (резюме)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</si>
  <si>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</si>
  <si>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</si>
  <si>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</si>
  <si>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М. П.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</si>
  <si>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</si>
  <si>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</si>
  <si>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</si>
  <si>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</si>
  <si>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</si>
  <si>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</si>
  <si>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</si>
  <si>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</si>
  <si>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</si>
  <si>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</si>
  <si>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</si>
  <si>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</si>
  <si>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</si>
  <si>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</si>
  <si>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</si>
  <si>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</si>
  <si>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</si>
  <si>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</si>
  <si>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І   квартал</t>
  </si>
  <si>
    <t>півріччя</t>
  </si>
  <si>
    <t>9 місяців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</si>
  <si>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</si>
  <si>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</si>
  <si>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</si>
  <si>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</si>
  <si>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</si>
  <si>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t>І  квартал</t>
  </si>
  <si>
    <t>І квартал</t>
  </si>
  <si>
    <t xml:space="preserve">І квартал </t>
  </si>
  <si>
    <t>ЗАТВЕРДЖЕНО ______________________________</t>
  </si>
  <si>
    <t xml:space="preserve">(дата та номер рішення виконавчого </t>
  </si>
  <si>
    <t>комітету міської ради)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</si>
  <si>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</si>
  <si>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</si>
  <si>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</si>
  <si>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</si>
  <si>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Ставка ЄСВ</t>
  </si>
  <si>
    <t>Ставка ЄСВ для інвалідів</t>
  </si>
  <si>
    <t>Відрахування</t>
  </si>
  <si>
    <t>Утримання</t>
  </si>
  <si>
    <t>ПДФО</t>
  </si>
  <si>
    <t>Військовий збір</t>
  </si>
  <si>
    <t>ФОП інвалідів</t>
  </si>
  <si>
    <t>ФОП (загальний)</t>
  </si>
  <si>
    <t>Податок на доходи фізичних осіб</t>
  </si>
  <si>
    <t>2147/1</t>
  </si>
  <si>
    <t>1000/1</t>
  </si>
  <si>
    <t>1076/1</t>
  </si>
  <si>
    <t>Інші операційні доходи (розшифрувати), у тому числі: (дотація з бюджету)</t>
  </si>
  <si>
    <t>3480/1</t>
  </si>
  <si>
    <t>внески органів місцевого самоврядування до статутного фонду</t>
  </si>
  <si>
    <t>цільове фінансування (поповнення обігових коштів)</t>
  </si>
  <si>
    <t>1030/1</t>
  </si>
  <si>
    <t>дохід від участі проведення святкових заходів</t>
  </si>
  <si>
    <t>1018/1</t>
  </si>
  <si>
    <t>1018/2</t>
  </si>
  <si>
    <t>1018/3</t>
  </si>
  <si>
    <t>1018/4</t>
  </si>
  <si>
    <t>відсотки банка</t>
  </si>
  <si>
    <t>1150/1</t>
  </si>
  <si>
    <t>поточні зобовязання</t>
  </si>
  <si>
    <t>1062/1</t>
  </si>
  <si>
    <t>1062/2</t>
  </si>
  <si>
    <t>витрати за обслуговування банком</t>
  </si>
  <si>
    <t>1062/3</t>
  </si>
  <si>
    <t>___________________________</t>
  </si>
  <si>
    <t xml:space="preserve"> (посада)</t>
  </si>
  <si>
    <t xml:space="preserve">(ініціали, прізвище)    </t>
  </si>
  <si>
    <t xml:space="preserve">ПОГОДЖЕНО             </t>
  </si>
  <si>
    <t>Для придбання основних засобів, та інших матеріальних активів</t>
  </si>
  <si>
    <t>3470/1</t>
  </si>
  <si>
    <t>КП "ІНФОРМАЦІЙНІ СИСТЕМИ" ДМР</t>
  </si>
  <si>
    <t xml:space="preserve"> Міські, районі у містах ради та їх виконачі органи</t>
  </si>
  <si>
    <t>Оброблення даних, розміщення інформації на веб-вузлах і пов'язана з ними діяльність.</t>
  </si>
  <si>
    <t>63.11</t>
  </si>
  <si>
    <t>Форма власності</t>
  </si>
  <si>
    <t>Комунальне підприємство</t>
  </si>
  <si>
    <t>Середньооблікова кількість штатних працівників - 16 осіб</t>
  </si>
  <si>
    <t>49000, м. Дніпро просп. Дмитра Яворницького,75</t>
  </si>
  <si>
    <t>Смирна К.В.</t>
  </si>
  <si>
    <t>оренда службових приміщення, відшкодування орендодавцю комунальних витрат</t>
  </si>
  <si>
    <t>витрати на придбання офісне устаткування та приладдя різне</t>
  </si>
  <si>
    <t>1062/4</t>
  </si>
  <si>
    <t>витрати, що здійснюються для підтримання об’єкта в робочому стані (проведення тех. ремонту, технічного огляду, нагляду, обслуговування тощо)</t>
  </si>
  <si>
    <t xml:space="preserve">витрати на охорону </t>
  </si>
  <si>
    <t>К. В. СМИРНА</t>
  </si>
  <si>
    <t>К.В. СМИРНА</t>
  </si>
  <si>
    <r>
      <t>___К.В. СМИРНА</t>
    </r>
    <r>
      <rPr>
        <u/>
        <sz val="14"/>
        <rFont val="Times New Roman"/>
        <family val="1"/>
        <charset val="204"/>
      </rPr>
      <t>_</t>
    </r>
    <r>
      <rPr>
        <sz val="14"/>
        <rFont val="Times New Roman"/>
        <family val="1"/>
        <charset val="204"/>
      </rPr>
      <t>_________</t>
    </r>
  </si>
  <si>
    <r>
      <t>____</t>
    </r>
    <r>
      <rPr>
        <u/>
        <sz val="14"/>
        <rFont val="Times New Roman"/>
        <family val="1"/>
        <charset val="204"/>
      </rPr>
      <t>К.В. СМИРНА._</t>
    </r>
    <r>
      <rPr>
        <sz val="14"/>
        <rFont val="Times New Roman"/>
        <family val="1"/>
        <charset val="204"/>
      </rPr>
      <t>_________</t>
    </r>
  </si>
  <si>
    <t>КОМУНАЛЬНЕ ПІДПРИЄМСТВО "ІНФОРМАЦІЙНІ СИСТЕМИ" ДНІПРОВСЬКОЇ МІСЬКОЇ РАДИ</t>
  </si>
  <si>
    <t xml:space="preserve"> (прізвище та ініціали та підпис заступника міського голови за напрямом діяльності  підприємства)</t>
  </si>
  <si>
    <t>К.В. Смирна</t>
  </si>
  <si>
    <t>плата за землю</t>
  </si>
  <si>
    <t>2146/1</t>
  </si>
  <si>
    <t>Придбання модулів автоматизованого керування об'єктами систем диспетчеризації ліфтів у м. Дніпро (по районам)</t>
  </si>
  <si>
    <t>3270/1</t>
  </si>
  <si>
    <t>Придбання(виготовлення) апаратно- програмний комплекс автоматизованої системи  диспетчеризації ліфтів у м. Дніпро</t>
  </si>
  <si>
    <t>Придбання(виготовлення) апаратий комплекс взаємодії систем керування об'єктами мереж освітлення, автоматизованої системи диспетчерезації ліфтів та автоматизованої системи керування дорожнім рухом</t>
  </si>
  <si>
    <t>3270/2</t>
  </si>
  <si>
    <t>3270/3</t>
  </si>
  <si>
    <t>Модуль взаємодії систем керування об'єктами мереж освітлення, автоматизованої системи диспетчерезації ліфтів та автоматизованої системи керування дорожнім рухом</t>
  </si>
  <si>
    <t>3290/1</t>
  </si>
  <si>
    <t>3290/2</t>
  </si>
  <si>
    <t>3290/3</t>
  </si>
  <si>
    <t>Модуль програмного забеспечення взаємодії систем керування об'єктами мереж освітлення, автоматизованої системи диспетчеризації ліфтів та автоматизованної системи керування дорожнім рухом</t>
  </si>
  <si>
    <t>3290/4</t>
  </si>
  <si>
    <t>Виконання робіт з капітального ремонту нежитлового примішення,</t>
  </si>
  <si>
    <t>3310/1</t>
  </si>
  <si>
    <t>Доопрацювання систем комплексу "Автоматизована система управління об'єктами"</t>
  </si>
  <si>
    <t>ШТАТНИЙ РОЗПИС</t>
  </si>
  <si>
    <t>№
з/п</t>
  </si>
  <si>
    <t>Назва структурного підрозділу та посад</t>
  </si>
  <si>
    <t>Посадовий оклад (грн.)</t>
  </si>
  <si>
    <t>Директор</t>
  </si>
  <si>
    <t>Відділ бухгалтерського обліку та звітності</t>
  </si>
  <si>
    <t>Відділ автоматизації та комунікацій</t>
  </si>
  <si>
    <t>Заступник начальника відділу</t>
  </si>
  <si>
    <t>Провідний інженер</t>
  </si>
  <si>
    <t>РАЗОМ</t>
  </si>
  <si>
    <t>1085/1</t>
  </si>
  <si>
    <t>3310/2</t>
  </si>
  <si>
    <t>Модуль програмного забезпечення інтеграції системи керування дорожнім рухом до системи головного центру автоматизованного керування взаємодії систем та його автоматизованого помічника</t>
  </si>
  <si>
    <t>фоп</t>
  </si>
  <si>
    <t>єсв</t>
  </si>
  <si>
    <t>для таб. 6.1</t>
  </si>
  <si>
    <t>фонд оплати праці</t>
  </si>
  <si>
    <t>ауп</t>
  </si>
  <si>
    <t>середньомісячна ЗП</t>
  </si>
  <si>
    <t>середньомісячний дохід</t>
  </si>
  <si>
    <t>3310/3</t>
  </si>
  <si>
    <t>Придбання (виготовлення) інших необоротних матеріальних активів (принтер, мебель і т.п.)</t>
  </si>
  <si>
    <t>Заступник міського голови директор департаменту благоустрою та інфраструктури Дніпровської міської ради</t>
  </si>
  <si>
    <r>
      <t>Керівник</t>
    </r>
    <r>
      <rPr>
        <sz val="14"/>
        <rFont val="Times New Roman"/>
        <family val="1"/>
        <charset val="204"/>
      </rPr>
      <t xml:space="preserve">   __Директор______</t>
    </r>
  </si>
  <si>
    <r>
      <t xml:space="preserve">Керівник </t>
    </r>
    <r>
      <rPr>
        <sz val="14"/>
        <rFont val="Times New Roman"/>
        <family val="1"/>
        <charset val="204"/>
      </rPr>
      <t xml:space="preserve"> ___Директор_____</t>
    </r>
  </si>
  <si>
    <r>
      <t xml:space="preserve">Керівник </t>
    </r>
    <r>
      <rPr>
        <sz val="14"/>
        <rFont val="Times New Roman"/>
        <family val="1"/>
        <charset val="204"/>
      </rPr>
      <t xml:space="preserve"> _____Директор _____________</t>
    </r>
  </si>
  <si>
    <r>
      <t>Керівник ___Директор ____________</t>
    </r>
    <r>
      <rPr>
        <sz val="14"/>
        <rFont val="Times New Roman"/>
        <family val="1"/>
        <charset val="204"/>
      </rPr>
      <t xml:space="preserve"> </t>
    </r>
  </si>
  <si>
    <t xml:space="preserve">_____________________________________М.О. Лисенко </t>
  </si>
  <si>
    <t>РОЗГЛЯНУТО</t>
  </si>
  <si>
    <t xml:space="preserve">О.М. Самілик </t>
  </si>
  <si>
    <t>Заступник  директора департаменту благоустрою та інфраструктури Дніпровської міської ради</t>
  </si>
  <si>
    <t xml:space="preserve"> (прізвище та ініціали та підпис )</t>
  </si>
  <si>
    <r>
      <t xml:space="preserve">Керівник </t>
    </r>
    <r>
      <rPr>
        <sz val="14"/>
        <rFont val="Times New Roman"/>
        <family val="1"/>
        <charset val="204"/>
      </rPr>
      <t>___Директор __________</t>
    </r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</si>
  <si>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Дніпра</t>
  </si>
  <si>
    <r>
      <t xml:space="preserve">Керівник </t>
    </r>
    <r>
      <rPr>
        <sz val="14"/>
        <rFont val="Times New Roman"/>
        <family val="1"/>
        <charset val="204"/>
      </rPr>
      <t>___Директор _____</t>
    </r>
  </si>
  <si>
    <t xml:space="preserve">                     (посада)</t>
  </si>
  <si>
    <t>Факт минулого року (2018)</t>
  </si>
  <si>
    <t>Фінансовий план поточного року (2019)</t>
  </si>
  <si>
    <t>Плановий рік (2020)</t>
  </si>
  <si>
    <t>Факт минулого року 2018</t>
  </si>
  <si>
    <t>Фінансовий план поточного року 2019</t>
  </si>
  <si>
    <t>Прогноз на поточний рік 2019</t>
  </si>
  <si>
    <t>План 2020</t>
  </si>
  <si>
    <t>Фінансова підтримка на утримання відповідно до Програми інформатизації та інформаційної діяльності Дніпровської міської ради на 2016-2020 рр.</t>
  </si>
  <si>
    <t>1085/2</t>
  </si>
  <si>
    <t>1085/3</t>
  </si>
  <si>
    <t>1085/4</t>
  </si>
  <si>
    <t>1085/5</t>
  </si>
  <si>
    <t>1085/6</t>
  </si>
  <si>
    <t>1085/7</t>
  </si>
  <si>
    <t>заохочувальні виплати</t>
  </si>
  <si>
    <t>податок на землю</t>
  </si>
  <si>
    <t>штрафи, пені</t>
  </si>
  <si>
    <t>послуги з теплопостачання</t>
  </si>
  <si>
    <t>послуги з водопостачання та водовідведення</t>
  </si>
  <si>
    <t>інші податки та збори</t>
  </si>
  <si>
    <t>Модуль програмного забезпечення інтеграції системи керування об'єктами мереж освітлення міста до системи головного центру автоматизованного керування</t>
  </si>
  <si>
    <t>Фактичний показник за 2018 рік</t>
  </si>
  <si>
    <t>Плановий показник поточного 2019 року</t>
  </si>
  <si>
    <t>Фактичний показник поточного року за останній звітний період 2019 року</t>
  </si>
  <si>
    <t>Плановий 2020 рік</t>
  </si>
  <si>
    <t>витрати на обслуговування оргтехніки (заправка картриджів)</t>
  </si>
  <si>
    <t>Поліграфічні витрати та підписка на періодичні видання</t>
  </si>
  <si>
    <t>1062/5</t>
  </si>
  <si>
    <t>Витрати на обслуговування основних фондів (послуги з технічного обслуговування модулів)</t>
  </si>
  <si>
    <t>Витрати на обслуговування основних фондів (обслуговування серверів)</t>
  </si>
  <si>
    <t>коригування на динаміку дебіторської заборгованості, витрат майбутніх періодів</t>
  </si>
  <si>
    <t>3050/1</t>
  </si>
  <si>
    <t>до фінансового плану на 2020 рік</t>
  </si>
  <si>
    <t>Витрати на обслуговування основних фондів (монтаж модулів автоматизованого керування обєктами)</t>
  </si>
  <si>
    <t>3310/4</t>
  </si>
  <si>
    <t>ФІНАНСОВИЙ ПЛАН ПІДПРИЄМСТВА НА 2020 рік</t>
  </si>
  <si>
    <t>Прогноз на поточний рік (2019)</t>
  </si>
  <si>
    <t>2020 рік</t>
  </si>
  <si>
    <t>3060/1</t>
  </si>
  <si>
    <t>1030/2</t>
  </si>
  <si>
    <t>Дохід операційної діяльності (% від депозиту)</t>
  </si>
  <si>
    <t>коригування суми непокритого збитку</t>
  </si>
  <si>
    <t>коригування від цільового фінансування капітальних інвестицій, що відноситься до амортизації</t>
  </si>
  <si>
    <t>3030/1</t>
  </si>
  <si>
    <t>3030/2</t>
  </si>
  <si>
    <t>придбання ІНМА</t>
  </si>
  <si>
    <t>КОМУНАЛЬНОГО ПІДПРИЄМСТВА "ІНФОРМАЦІЙНІ СИСТЕМИ" ДНІПРОВСЬКОЇ МІСЬКОЇ РАДИ</t>
  </si>
  <si>
    <t>на 01 листопада 2019р.</t>
  </si>
  <si>
    <t>Кількість штатних посад</t>
  </si>
  <si>
    <t>Фонд заробітної плати на місяць, грн.</t>
  </si>
  <si>
    <t xml:space="preserve">Апарат управління </t>
  </si>
  <si>
    <t>Заступник директора</t>
  </si>
  <si>
    <t>Провідний спеціаліст з кадрових питань</t>
  </si>
  <si>
    <t>Прибиральник службових приміщень</t>
  </si>
  <si>
    <t>Всього:</t>
  </si>
  <si>
    <t>Начальник відділу - головний бухгалтер</t>
  </si>
  <si>
    <t xml:space="preserve">Заступник начальника відділу </t>
  </si>
  <si>
    <t>Провідний бухгалтер</t>
  </si>
  <si>
    <t>Провідний економіст</t>
  </si>
  <si>
    <t xml:space="preserve">Начальник відділу </t>
  </si>
  <si>
    <t>Відділ диспетчерської служби Лівобережний</t>
  </si>
  <si>
    <t>Провідний спеціаліст</t>
  </si>
  <si>
    <t>Разом по підприємству на місяць</t>
  </si>
  <si>
    <t>1 квартал</t>
  </si>
  <si>
    <t>надбавки</t>
  </si>
  <si>
    <t>собівартість</t>
  </si>
  <si>
    <t>адмін</t>
  </si>
  <si>
    <t>фоп інвалідів с/в</t>
  </si>
  <si>
    <t>фоп інвалідів ауп</t>
  </si>
  <si>
    <t>Кількість штатних посад. 1 кварт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</si>
</sst>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  <numFmt numFmtId="179" formatCode="000000"/>
    <numFmt numFmtId="180" formatCode="_-* #,##0_₴_-;\-* #,##0_₴_-;_-* &quot;-&quot;??_₴_-;_-@_-"/>
  </numFmts>
  <fonts count="9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u/>
      <sz val="16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0"/>
      <name val="Arimo"/>
    </font>
    <font>
      <b/>
      <sz val="14"/>
      <color rgb="FF7030A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mo"/>
    </font>
    <font>
      <b/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color theme="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55"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4" fillId="2" borderId="0" applyNumberFormat="0" applyBorder="0" applyAlignment="0" applyProtection="0"/>
    <xf numFmtId="0" fontId="2" fillId="2" borderId="0" applyNumberFormat="0" applyBorder="0" applyAlignment="0" applyProtection="0"/>
    <xf numFmtId="0" fontId="34" fillId="3" borderId="0" applyNumberFormat="0" applyBorder="0" applyAlignment="0" applyProtection="0"/>
    <xf numFmtId="0" fontId="2" fillId="3" borderId="0" applyNumberFormat="0" applyBorder="0" applyAlignment="0" applyProtection="0"/>
    <xf numFmtId="0" fontId="34" fillId="4" borderId="0" applyNumberFormat="0" applyBorder="0" applyAlignment="0" applyProtection="0"/>
    <xf numFmtId="0" fontId="2" fillId="4" borderId="0" applyNumberFormat="0" applyBorder="0" applyAlignment="0" applyProtection="0"/>
    <xf numFmtId="0" fontId="34" fillId="5" borderId="0" applyNumberFormat="0" applyBorder="0" applyAlignment="0" applyProtection="0"/>
    <xf numFmtId="0" fontId="2" fillId="5" borderId="0" applyNumberFormat="0" applyBorder="0" applyAlignment="0" applyProtection="0"/>
    <xf numFmtId="0" fontId="34" fillId="6" borderId="0" applyNumberFormat="0" applyBorder="0" applyAlignment="0" applyProtection="0"/>
    <xf numFmtId="0" fontId="2" fillId="6" borderId="0" applyNumberFormat="0" applyBorder="0" applyAlignment="0" applyProtection="0"/>
    <xf numFmtId="0" fontId="34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4" fillId="8" borderId="0" applyNumberFormat="0" applyBorder="0" applyAlignment="0" applyProtection="0"/>
    <xf numFmtId="0" fontId="2" fillId="8" borderId="0" applyNumberFormat="0" applyBorder="0" applyAlignment="0" applyProtection="0"/>
    <xf numFmtId="0" fontId="34" fillId="9" borderId="0" applyNumberFormat="0" applyBorder="0" applyAlignment="0" applyProtection="0"/>
    <xf numFmtId="0" fontId="2" fillId="9" borderId="0" applyNumberFormat="0" applyBorder="0" applyAlignment="0" applyProtection="0"/>
    <xf numFmtId="0" fontId="34" fillId="10" borderId="0" applyNumberFormat="0" applyBorder="0" applyAlignment="0" applyProtection="0"/>
    <xf numFmtId="0" fontId="2" fillId="10" borderId="0" applyNumberFormat="0" applyBorder="0" applyAlignment="0" applyProtection="0"/>
    <xf numFmtId="0" fontId="34" fillId="5" borderId="0" applyNumberFormat="0" applyBorder="0" applyAlignment="0" applyProtection="0"/>
    <xf numFmtId="0" fontId="2" fillId="5" borderId="0" applyNumberFormat="0" applyBorder="0" applyAlignment="0" applyProtection="0"/>
    <xf numFmtId="0" fontId="34" fillId="8" borderId="0" applyNumberFormat="0" applyBorder="0" applyAlignment="0" applyProtection="0"/>
    <xf numFmtId="0" fontId="2" fillId="8" borderId="0" applyNumberFormat="0" applyBorder="0" applyAlignment="0" applyProtection="0"/>
    <xf numFmtId="0" fontId="34" fillId="11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5" fillId="12" borderId="0" applyNumberFormat="0" applyBorder="0" applyAlignment="0" applyProtection="0"/>
    <xf numFmtId="0" fontId="17" fillId="12" borderId="0" applyNumberFormat="0" applyBorder="0" applyAlignment="0" applyProtection="0"/>
    <xf numFmtId="0" fontId="35" fillId="9" borderId="0" applyNumberFormat="0" applyBorder="0" applyAlignment="0" applyProtection="0"/>
    <xf numFmtId="0" fontId="17" fillId="9" borderId="0" applyNumberFormat="0" applyBorder="0" applyAlignment="0" applyProtection="0"/>
    <xf numFmtId="0" fontId="35" fillId="10" borderId="0" applyNumberFormat="0" applyBorder="0" applyAlignment="0" applyProtection="0"/>
    <xf numFmtId="0" fontId="17" fillId="10" borderId="0" applyNumberFormat="0" applyBorder="0" applyAlignment="0" applyProtection="0"/>
    <xf numFmtId="0" fontId="35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4" borderId="0" applyNumberFormat="0" applyBorder="0" applyAlignment="0" applyProtection="0"/>
    <xf numFmtId="0" fontId="35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8" fillId="3" borderId="0" applyNumberFormat="0" applyBorder="0" applyAlignment="0" applyProtection="0"/>
    <xf numFmtId="0" fontId="20" fillId="20" borderId="1" applyNumberFormat="0" applyAlignment="0" applyProtection="0"/>
    <xf numFmtId="0" fontId="25" fillId="21" borderId="2" applyNumberFormat="0" applyAlignment="0" applyProtection="0"/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168" fontId="14" fillId="0" borderId="0" applyFont="0" applyFill="0" applyBorder="0" applyAlignment="0" applyProtection="0"/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0" fontId="29" fillId="0" borderId="0" applyNumberFormat="0" applyFill="0" applyBorder="0" applyAlignment="0" applyProtection="0"/>
    <xf numFmtId="171" fontId="37" fillId="0" borderId="0" applyAlignment="0">
      <alignment wrapText="1"/>
    </xf>
    <xf numFmtId="0" fontId="32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39" fillId="22" borderId="7">
      <alignment horizontal="left" vertical="center"/>
      <protection locked="0"/>
    </xf>
    <xf numFmtId="49" fontId="39" fillId="22" borderId="7">
      <alignment horizontal="left" vertical="center"/>
    </xf>
    <xf numFmtId="4" fontId="39" fillId="22" borderId="7">
      <alignment horizontal="right" vertical="center"/>
      <protection locked="0"/>
    </xf>
    <xf numFmtId="4" fontId="39" fillId="22" borderId="7">
      <alignment horizontal="right" vertical="center"/>
    </xf>
    <xf numFmtId="4" fontId="40" fillId="22" borderId="7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6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6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9" fontId="45" fillId="22" borderId="3">
      <alignment horizontal="left" vertical="center"/>
      <protection locked="0"/>
    </xf>
    <xf numFmtId="49" fontId="45" fillId="22" borderId="3">
      <alignment horizontal="left" vertical="center"/>
    </xf>
    <xf numFmtId="4" fontId="44" fillId="22" borderId="3">
      <alignment horizontal="right" vertical="center"/>
      <protection locked="0"/>
    </xf>
    <xf numFmtId="4" fontId="44" fillId="22" borderId="3">
      <alignment horizontal="right" vertical="center"/>
    </xf>
    <xf numFmtId="4" fontId="46" fillId="22" borderId="3">
      <alignment horizontal="right" vertical="center"/>
      <protection locked="0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" fontId="47" fillId="0" borderId="3">
      <alignment horizontal="right" vertical="center"/>
      <protection locked="0"/>
    </xf>
    <xf numFmtId="4" fontId="47" fillId="0" borderId="3">
      <alignment horizontal="right" vertical="center"/>
    </xf>
    <xf numFmtId="4" fontId="48" fillId="0" borderId="3">
      <alignment horizontal="right" vertical="center"/>
      <protection locked="0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9" fontId="50" fillId="0" borderId="3">
      <alignment horizontal="left" vertical="center"/>
      <protection locked="0"/>
    </xf>
    <xf numFmtId="49" fontId="50" fillId="0" borderId="3">
      <alignment horizontal="left" vertical="center"/>
    </xf>
    <xf numFmtId="4" fontId="49" fillId="0" borderId="3">
      <alignment horizontal="right" vertical="center"/>
      <protection locked="0"/>
    </xf>
    <xf numFmtId="4" fontId="49" fillId="0" borderId="3">
      <alignment horizontal="right" vertical="center"/>
    </xf>
    <xf numFmtId="49" fontId="47" fillId="0" borderId="3">
      <alignment horizontal="left" vertical="center"/>
      <protection locked="0"/>
    </xf>
    <xf numFmtId="49" fontId="48" fillId="0" borderId="3">
      <alignment horizontal="left" vertical="center"/>
      <protection locked="0"/>
    </xf>
    <xf numFmtId="4" fontId="47" fillId="0" borderId="3">
      <alignment horizontal="right" vertical="center"/>
      <protection locked="0"/>
    </xf>
    <xf numFmtId="0" fontId="30" fillId="0" borderId="8" applyNumberFormat="0" applyFill="0" applyAlignment="0" applyProtection="0"/>
    <xf numFmtId="0" fontId="27" fillId="23" borderId="0" applyNumberFormat="0" applyBorder="0" applyAlignment="0" applyProtection="0"/>
    <xf numFmtId="0" fontId="14" fillId="0" borderId="0"/>
    <xf numFmtId="0" fontId="14" fillId="0" borderId="0"/>
    <xf numFmtId="0" fontId="14" fillId="24" borderId="0" applyNumberFormat="0" applyFill="0" applyAlignment="0">
      <alignment horizontal="center"/>
      <protection locked="0"/>
    </xf>
    <xf numFmtId="0" fontId="3" fillId="25" borderId="9" applyNumberFormat="0" applyFont="0" applyAlignment="0" applyProtection="0"/>
    <xf numFmtId="4" fontId="51" fillId="26" borderId="3">
      <alignment horizontal="right" vertical="center"/>
      <protection locked="0"/>
    </xf>
    <xf numFmtId="4" fontId="51" fillId="27" borderId="3">
      <alignment horizontal="right" vertical="center"/>
      <protection locked="0"/>
    </xf>
    <xf numFmtId="4" fontId="51" fillId="28" borderId="3">
      <alignment horizontal="right" vertical="center"/>
      <protection locked="0"/>
    </xf>
    <xf numFmtId="0" fontId="19" fillId="20" borderId="10" applyNumberFormat="0" applyAlignment="0" applyProtection="0"/>
    <xf numFmtId="49" fontId="36" fillId="0" borderId="3">
      <alignment horizontal="left" vertical="center" wrapText="1"/>
      <protection locked="0"/>
    </xf>
    <xf numFmtId="49" fontId="36" fillId="0" borderId="3">
      <alignment horizontal="left" vertical="center" wrapText="1"/>
      <protection locked="0"/>
    </xf>
    <xf numFmtId="0" fontId="26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5" fillId="16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7" borderId="0" applyNumberFormat="0" applyBorder="0" applyAlignment="0" applyProtection="0"/>
    <xf numFmtId="0" fontId="35" fillId="18" borderId="0" applyNumberFormat="0" applyBorder="0" applyAlignment="0" applyProtection="0"/>
    <xf numFmtId="0" fontId="17" fillId="18" borderId="0" applyNumberFormat="0" applyBorder="0" applyAlignment="0" applyProtection="0"/>
    <xf numFmtId="0" fontId="35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4" borderId="0" applyNumberFormat="0" applyBorder="0" applyAlignment="0" applyProtection="0"/>
    <xf numFmtId="0" fontId="35" fillId="19" borderId="0" applyNumberFormat="0" applyBorder="0" applyAlignment="0" applyProtection="0"/>
    <xf numFmtId="0" fontId="17" fillId="19" borderId="0" applyNumberFormat="0" applyBorder="0" applyAlignment="0" applyProtection="0"/>
    <xf numFmtId="0" fontId="52" fillId="7" borderId="1" applyNumberFormat="0" applyAlignment="0" applyProtection="0"/>
    <xf numFmtId="0" fontId="18" fillId="7" borderId="1" applyNumberFormat="0" applyAlignment="0" applyProtection="0"/>
    <xf numFmtId="0" fontId="53" fillId="20" borderId="10" applyNumberFormat="0" applyAlignment="0" applyProtection="0"/>
    <xf numFmtId="0" fontId="19" fillId="20" borderId="10" applyNumberFormat="0" applyAlignment="0" applyProtection="0"/>
    <xf numFmtId="0" fontId="54" fillId="20" borderId="1" applyNumberFormat="0" applyAlignment="0" applyProtection="0"/>
    <xf numFmtId="0" fontId="20" fillId="20" borderId="1" applyNumberFormat="0" applyAlignment="0" applyProtection="0"/>
    <xf numFmtId="172" fontId="14" fillId="0" borderId="0" applyFont="0" applyFill="0" applyBorder="0" applyAlignment="0" applyProtection="0"/>
    <xf numFmtId="0" fontId="55" fillId="0" borderId="4" applyNumberFormat="0" applyFill="0" applyAlignment="0" applyProtection="0"/>
    <xf numFmtId="0" fontId="21" fillId="0" borderId="4" applyNumberFormat="0" applyFill="0" applyAlignment="0" applyProtection="0"/>
    <xf numFmtId="0" fontId="56" fillId="0" borderId="5" applyNumberFormat="0" applyFill="0" applyAlignment="0" applyProtection="0"/>
    <xf numFmtId="0" fontId="22" fillId="0" borderId="5" applyNumberFormat="0" applyFill="0" applyAlignment="0" applyProtection="0"/>
    <xf numFmtId="0" fontId="57" fillId="0" borderId="6" applyNumberFormat="0" applyFill="0" applyAlignment="0" applyProtection="0"/>
    <xf numFmtId="0" fontId="23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8" fillId="0" borderId="11" applyNumberFormat="0" applyFill="0" applyAlignment="0" applyProtection="0"/>
    <xf numFmtId="0" fontId="24" fillId="0" borderId="11" applyNumberFormat="0" applyFill="0" applyAlignment="0" applyProtection="0"/>
    <xf numFmtId="0" fontId="59" fillId="21" borderId="2" applyNumberFormat="0" applyAlignment="0" applyProtection="0"/>
    <xf numFmtId="0" fontId="25" fillId="21" borderId="2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3" borderId="0" applyNumberFormat="0" applyBorder="0" applyAlignment="0" applyProtection="0"/>
    <xf numFmtId="0" fontId="27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" fillId="0" borderId="0"/>
    <xf numFmtId="0" fontId="78" fillId="0" borderId="0"/>
    <xf numFmtId="0" fontId="14" fillId="0" borderId="0"/>
    <xf numFmtId="0" fontId="3" fillId="0" borderId="0"/>
    <xf numFmtId="0" fontId="14" fillId="0" borderId="0"/>
    <xf numFmtId="0" fontId="14" fillId="0" borderId="0" applyNumberFormat="0" applyFont="0" applyFill="0" applyBorder="0" applyAlignment="0" applyProtection="0">
      <alignment vertical="top"/>
    </xf>
    <xf numFmtId="0" fontId="14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61" fillId="3" borderId="0" applyNumberFormat="0" applyBorder="0" applyAlignment="0" applyProtection="0"/>
    <xf numFmtId="0" fontId="28" fillId="3" borderId="0" applyNumberFormat="0" applyBorder="0" applyAlignment="0" applyProtection="0"/>
    <xf numFmtId="0" fontId="6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3" fillId="25" borderId="9" applyNumberFormat="0" applyFont="0" applyAlignment="0" applyProtection="0"/>
    <xf numFmtId="0" fontId="14" fillId="25" borderId="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4" fillId="0" borderId="8" applyNumberFormat="0" applyFill="0" applyAlignment="0" applyProtection="0"/>
    <xf numFmtId="0" fontId="30" fillId="0" borderId="8" applyNumberFormat="0" applyFill="0" applyAlignment="0" applyProtection="0"/>
    <xf numFmtId="0" fontId="33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3" fontId="67" fillId="0" borderId="0" applyFont="0" applyFill="0" applyBorder="0" applyAlignment="0" applyProtection="0"/>
    <xf numFmtId="17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8" fillId="4" borderId="0" applyNumberFormat="0" applyBorder="0" applyAlignment="0" applyProtection="0"/>
    <xf numFmtId="0" fontId="32" fillId="4" borderId="0" applyNumberFormat="0" applyBorder="0" applyAlignment="0" applyProtection="0"/>
    <xf numFmtId="176" fontId="69" fillId="22" borderId="12" applyFill="0" applyBorder="0">
      <alignment horizontal="center" vertical="center" wrapText="1"/>
      <protection locked="0"/>
    </xf>
    <xf numFmtId="171" fontId="70" fillId="0" borderId="0">
      <alignment wrapText="1"/>
    </xf>
    <xf numFmtId="171" fontId="37" fillId="0" borderId="0">
      <alignment wrapText="1"/>
    </xf>
    <xf numFmtId="164" fontId="3" fillId="0" borderId="0" applyFont="0" applyFill="0" applyBorder="0" applyAlignment="0" applyProtection="0"/>
    <xf numFmtId="0" fontId="1" fillId="0" borderId="0"/>
  </cellStyleXfs>
  <cellXfs count="552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9" fontId="5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70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170" fontId="6" fillId="0" borderId="0" xfId="0" applyNumberFormat="1" applyFont="1" applyFill="1" applyAlignment="1">
      <alignment vertical="center"/>
    </xf>
    <xf numFmtId="0" fontId="13" fillId="0" borderId="0" xfId="0" applyFont="1" applyFill="1"/>
    <xf numFmtId="169" fontId="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/>
    <xf numFmtId="169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 shrinkToFit="1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3" xfId="237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245" applyFont="1" applyFill="1" applyBorder="1" applyAlignment="1">
      <alignment horizontal="center" vertical="center" wrapText="1"/>
    </xf>
    <xf numFmtId="0" fontId="6" fillId="0" borderId="0" xfId="245" applyFont="1" applyFill="1" applyBorder="1" applyAlignment="1">
      <alignment vertical="center"/>
    </xf>
    <xf numFmtId="0" fontId="6" fillId="0" borderId="3" xfId="245" applyFont="1" applyFill="1" applyBorder="1" applyAlignment="1">
      <alignment horizontal="left" vertical="center" wrapText="1"/>
    </xf>
    <xf numFmtId="0" fontId="5" fillId="0" borderId="0" xfId="245" applyFont="1" applyFill="1" applyBorder="1" applyAlignment="1">
      <alignment vertical="center"/>
    </xf>
    <xf numFmtId="0" fontId="6" fillId="0" borderId="0" xfId="245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3" xfId="245" applyFont="1" applyFill="1" applyBorder="1" applyAlignment="1">
      <alignment horizontal="center" vertical="center"/>
    </xf>
    <xf numFmtId="0" fontId="6" fillId="0" borderId="3" xfId="245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170" fontId="5" fillId="0" borderId="0" xfId="0" applyNumberFormat="1" applyFont="1" applyFill="1" applyBorder="1" applyAlignment="1">
      <alignment horizontal="center" vertical="center" wrapText="1"/>
    </xf>
    <xf numFmtId="170" fontId="5" fillId="0" borderId="0" xfId="0" applyNumberFormat="1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left" vertical="center" wrapText="1"/>
    </xf>
    <xf numFmtId="0" fontId="16" fillId="0" borderId="0" xfId="245" applyFont="1" applyFill="1"/>
    <xf numFmtId="0" fontId="7" fillId="0" borderId="0" xfId="0" applyFont="1" applyFill="1" applyAlignment="1">
      <alignment vertical="center"/>
    </xf>
    <xf numFmtId="0" fontId="6" fillId="0" borderId="0" xfId="245" applyFont="1" applyFill="1" applyBorder="1" applyAlignment="1">
      <alignment vertical="center" wrapText="1"/>
    </xf>
    <xf numFmtId="0" fontId="5" fillId="0" borderId="3" xfId="237" applyFont="1" applyFill="1" applyBorder="1" applyAlignment="1">
      <alignment horizontal="left" vertical="center"/>
    </xf>
    <xf numFmtId="0" fontId="6" fillId="0" borderId="0" xfId="0" applyFont="1" applyFill="1"/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/>
    <xf numFmtId="0" fontId="13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left" vertical="center" wrapText="1"/>
    </xf>
    <xf numFmtId="0" fontId="6" fillId="0" borderId="3" xfId="237" applyNumberFormat="1" applyFont="1" applyFill="1" applyBorder="1" applyAlignment="1">
      <alignment horizontal="left" vertical="center" wrapText="1"/>
    </xf>
    <xf numFmtId="0" fontId="6" fillId="0" borderId="3" xfId="237" applyNumberFormat="1" applyFont="1" applyFill="1" applyBorder="1" applyAlignment="1">
      <alignment horizontal="center" vertical="center" wrapText="1"/>
    </xf>
    <xf numFmtId="0" fontId="6" fillId="0" borderId="3" xfId="237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169" fontId="6" fillId="0" borderId="0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 shrinkToFit="1"/>
    </xf>
    <xf numFmtId="49" fontId="6" fillId="0" borderId="3" xfId="237" applyNumberFormat="1" applyFont="1" applyFill="1" applyBorder="1" applyAlignment="1">
      <alignment horizontal="left" vertical="center" wrapText="1"/>
    </xf>
    <xf numFmtId="170" fontId="6" fillId="0" borderId="3" xfId="237" applyNumberFormat="1" applyFont="1" applyFill="1" applyBorder="1" applyAlignment="1">
      <alignment horizontal="center" vertical="center" wrapText="1"/>
    </xf>
    <xf numFmtId="0" fontId="6" fillId="0" borderId="3" xfId="237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182" applyFont="1" applyFill="1" applyBorder="1" applyAlignment="1" applyProtection="1">
      <alignment vertical="center" wrapText="1"/>
    </xf>
    <xf numFmtId="173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182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6" fillId="0" borderId="3" xfId="245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17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1" fillId="0" borderId="0" xfId="0" applyFont="1" applyAlignment="1" applyProtection="1">
      <alignment vertical="top" wrapText="1"/>
      <protection locked="0"/>
    </xf>
    <xf numFmtId="0" fontId="7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72" fillId="0" borderId="0" xfId="0" applyFont="1" applyFill="1" applyBorder="1" applyAlignment="1" applyProtection="1">
      <alignment horizontal="right" vertical="center"/>
      <protection locked="0"/>
    </xf>
    <xf numFmtId="0" fontId="72" fillId="0" borderId="0" xfId="0" applyFont="1" applyFill="1" applyBorder="1" applyAlignment="1" applyProtection="1">
      <alignment horizontal="right" vertical="center" wrapText="1"/>
      <protection locked="0"/>
    </xf>
    <xf numFmtId="0" fontId="72" fillId="0" borderId="0" xfId="0" applyFont="1" applyFill="1" applyAlignment="1" applyProtection="1">
      <alignment horizontal="center" vertical="center"/>
      <protection locked="0"/>
    </xf>
    <xf numFmtId="0" fontId="72" fillId="0" borderId="0" xfId="0" applyFont="1" applyFill="1" applyBorder="1" applyAlignment="1" applyProtection="1">
      <alignment horizontal="center" vertical="center"/>
      <protection locked="0"/>
    </xf>
    <xf numFmtId="0" fontId="72" fillId="0" borderId="14" xfId="0" applyFont="1" applyFill="1" applyBorder="1" applyAlignment="1" applyProtection="1">
      <alignment vertical="center"/>
      <protection locked="0"/>
    </xf>
    <xf numFmtId="0" fontId="72" fillId="0" borderId="15" xfId="0" applyFont="1" applyFill="1" applyBorder="1" applyAlignment="1" applyProtection="1">
      <alignment vertical="center"/>
      <protection locked="0"/>
    </xf>
    <xf numFmtId="0" fontId="72" fillId="0" borderId="16" xfId="0" applyFont="1" applyFill="1" applyBorder="1" applyAlignment="1" applyProtection="1">
      <alignment vertical="center"/>
      <protection locked="0"/>
    </xf>
    <xf numFmtId="0" fontId="72" fillId="0" borderId="16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2" fillId="0" borderId="3" xfId="0" applyFont="1" applyFill="1" applyBorder="1" applyAlignment="1" applyProtection="1">
      <alignment vertical="center" wrapText="1"/>
      <protection locked="0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7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170" fontId="7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5" fillId="0" borderId="0" xfId="0" quotePrefix="1" applyFont="1" applyFill="1" applyBorder="1" applyAlignment="1" applyProtection="1">
      <alignment horizontal="center"/>
      <protection locked="0"/>
    </xf>
    <xf numFmtId="170" fontId="5" fillId="0" borderId="0" xfId="0" quotePrefix="1" applyNumberFormat="1" applyFont="1" applyFill="1" applyBorder="1" applyAlignment="1" applyProtection="1">
      <alignment horizontal="center"/>
      <protection locked="0"/>
    </xf>
    <xf numFmtId="17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245" applyFont="1" applyFill="1" applyBorder="1" applyAlignment="1" applyProtection="1">
      <alignment horizontal="left" vertical="center" wrapText="1"/>
      <protection locked="0"/>
    </xf>
    <xf numFmtId="0" fontId="6" fillId="0" borderId="0" xfId="245" applyFont="1" applyFill="1" applyBorder="1" applyAlignment="1" applyProtection="1">
      <alignment horizontal="center" vertical="center"/>
      <protection locked="0"/>
    </xf>
    <xf numFmtId="170" fontId="6" fillId="0" borderId="0" xfId="245" applyNumberFormat="1" applyFont="1" applyFill="1" applyBorder="1" applyAlignment="1" applyProtection="1">
      <alignment horizontal="center" vertical="center" wrapText="1"/>
      <protection locked="0"/>
    </xf>
    <xf numFmtId="170" fontId="6" fillId="0" borderId="0" xfId="24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69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170" fontId="6" fillId="0" borderId="3" xfId="237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Protection="1">
      <protection locked="0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quotePrefix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14" fillId="0" borderId="3" xfId="0" applyFont="1" applyFill="1" applyBorder="1" applyAlignment="1">
      <alignment horizontal="left" vertical="center" wrapText="1"/>
    </xf>
    <xf numFmtId="0" fontId="14" fillId="0" borderId="3" xfId="245" applyFont="1" applyFill="1" applyBorder="1" applyAlignment="1">
      <alignment horizontal="left" vertical="center" wrapText="1"/>
    </xf>
    <xf numFmtId="1" fontId="0" fillId="0" borderId="3" xfId="0" applyNumberFormat="1" applyBorder="1"/>
    <xf numFmtId="0" fontId="0" fillId="0" borderId="3" xfId="0" applyBorder="1"/>
    <xf numFmtId="0" fontId="76" fillId="0" borderId="3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10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76" fillId="29" borderId="3" xfId="0" applyFont="1" applyFill="1" applyBorder="1" applyAlignment="1">
      <alignment horizontal="left" wrapText="1"/>
    </xf>
    <xf numFmtId="0" fontId="76" fillId="30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6" fillId="0" borderId="3" xfId="245" applyFont="1" applyFill="1" applyBorder="1" applyAlignment="1" applyProtection="1">
      <alignment horizontal="left" vertical="center" wrapText="1"/>
      <protection locked="0"/>
    </xf>
    <xf numFmtId="0" fontId="6" fillId="0" borderId="3" xfId="245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>
      <alignment horizontal="center" vertical="center" wrapText="1"/>
    </xf>
    <xf numFmtId="2" fontId="6" fillId="0" borderId="3" xfId="237" applyNumberFormat="1" applyFont="1" applyFill="1" applyBorder="1" applyAlignment="1" applyProtection="1">
      <alignment horizontal="center" vertical="center" wrapText="1"/>
      <protection locked="0"/>
    </xf>
    <xf numFmtId="2" fontId="6" fillId="0" borderId="3" xfId="237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/>
    <xf numFmtId="0" fontId="0" fillId="0" borderId="3" xfId="0" applyFill="1" applyBorder="1" applyProtection="1">
      <protection locked="0"/>
    </xf>
    <xf numFmtId="10" fontId="77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10" fontId="0" fillId="0" borderId="0" xfId="0" applyNumberFormat="1" applyBorder="1" applyAlignment="1">
      <alignment horizontal="center" vertical="center" wrapText="1"/>
    </xf>
    <xf numFmtId="0" fontId="76" fillId="31" borderId="0" xfId="0" applyFont="1" applyFill="1" applyBorder="1" applyAlignment="1">
      <alignment horizontal="left" wrapText="1"/>
    </xf>
    <xf numFmtId="0" fontId="0" fillId="0" borderId="0" xfId="0" applyFill="1" applyBorder="1" applyProtection="1">
      <protection locked="0"/>
    </xf>
    <xf numFmtId="10" fontId="77" fillId="3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 wrapText="1" shrinkToFit="1"/>
    </xf>
    <xf numFmtId="0" fontId="6" fillId="0" borderId="3" xfId="0" quotePrefix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182" applyFont="1" applyFill="1" applyBorder="1" applyAlignment="1" applyProtection="1">
      <alignment horizontal="left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quotePrefix="1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 shrinkToFit="1"/>
      <protection locked="0"/>
    </xf>
    <xf numFmtId="3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 wrapText="1" shrinkToFit="1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/>
    </xf>
    <xf numFmtId="1" fontId="6" fillId="31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170" fontId="6" fillId="0" borderId="0" xfId="0" quotePrefix="1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1" fontId="8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vertical="center" wrapText="1"/>
    </xf>
    <xf numFmtId="0" fontId="72" fillId="0" borderId="15" xfId="0" applyFont="1" applyFill="1" applyBorder="1" applyAlignment="1" applyProtection="1">
      <alignment vertical="center" wrapText="1"/>
      <protection locked="0"/>
    </xf>
    <xf numFmtId="0" fontId="6" fillId="0" borderId="24" xfId="0" applyFont="1" applyBorder="1" applyAlignment="1">
      <alignment horizontal="center" vertical="center"/>
    </xf>
    <xf numFmtId="0" fontId="72" fillId="0" borderId="16" xfId="0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2" fillId="0" borderId="14" xfId="0" applyFont="1" applyFill="1" applyBorder="1" applyAlignment="1" applyProtection="1">
      <alignment horizontal="left" vertical="center" wrapText="1"/>
      <protection locked="0"/>
    </xf>
    <xf numFmtId="0" fontId="72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Alignment="1" applyProtection="1">
      <alignment horizontal="left" vertical="top" wrapText="1"/>
      <protection locked="0"/>
    </xf>
    <xf numFmtId="0" fontId="72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vertical="center"/>
    </xf>
    <xf numFmtId="0" fontId="72" fillId="0" borderId="0" xfId="0" applyFont="1" applyFill="1" applyBorder="1" applyAlignment="1" applyProtection="1">
      <alignment vertical="center" wrapText="1"/>
      <protection locked="0"/>
    </xf>
    <xf numFmtId="1" fontId="6" fillId="31" borderId="0" xfId="0" applyNumberFormat="1" applyFont="1" applyFill="1" applyBorder="1" applyAlignment="1">
      <alignment vertical="center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1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1" fontId="8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vertical="center"/>
    </xf>
    <xf numFmtId="0" fontId="72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vertical="center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5" fillId="0" borderId="0" xfId="245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7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3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3" xfId="0" applyNumberFormat="1" applyFont="1" applyFill="1" applyBorder="1" applyAlignment="1" applyProtection="1">
      <alignment horizontal="center" vertical="center" wrapText="1"/>
    </xf>
    <xf numFmtId="2" fontId="81" fillId="0" borderId="3" xfId="0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quotePrefix="1" applyFont="1" applyFill="1" applyBorder="1" applyAlignment="1" applyProtection="1">
      <alignment horizontal="left" vertical="center" wrapText="1"/>
      <protection locked="0"/>
    </xf>
    <xf numFmtId="0" fontId="6" fillId="0" borderId="2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left" vertical="center" wrapText="1"/>
      <protection locked="0"/>
    </xf>
    <xf numFmtId="1" fontId="6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8" xfId="245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3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horizontal="left" vertical="center" wrapText="1"/>
      <protection locked="0"/>
    </xf>
    <xf numFmtId="1" fontId="6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3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2" xfId="245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31" borderId="0" xfId="0" applyFont="1" applyFill="1" applyBorder="1" applyAlignment="1" applyProtection="1">
      <alignment horizontal="center" vertical="center" wrapText="1"/>
    </xf>
    <xf numFmtId="0" fontId="6" fillId="31" borderId="3" xfId="0" applyFont="1" applyFill="1" applyBorder="1" applyAlignment="1" applyProtection="1">
      <alignment horizontal="center" vertical="center" wrapText="1"/>
    </xf>
    <xf numFmtId="1" fontId="6" fillId="31" borderId="3" xfId="0" applyNumberFormat="1" applyFont="1" applyFill="1" applyBorder="1" applyAlignment="1" applyProtection="1">
      <alignment horizontal="center" vertical="center" wrapText="1"/>
    </xf>
    <xf numFmtId="1" fontId="5" fillId="31" borderId="3" xfId="0" applyNumberFormat="1" applyFont="1" applyFill="1" applyBorder="1" applyAlignment="1" applyProtection="1">
      <alignment horizontal="center" vertical="center" wrapText="1"/>
    </xf>
    <xf numFmtId="1" fontId="6" fillId="31" borderId="32" xfId="0" applyNumberFormat="1" applyFont="1" applyFill="1" applyBorder="1" applyAlignment="1" applyProtection="1">
      <alignment horizontal="center" vertical="center" wrapText="1"/>
      <protection locked="0"/>
    </xf>
    <xf numFmtId="1" fontId="6" fillId="31" borderId="28" xfId="0" applyNumberFormat="1" applyFont="1" applyFill="1" applyBorder="1" applyAlignment="1" applyProtection="1">
      <alignment horizontal="center" vertical="center" wrapText="1"/>
      <protection locked="0"/>
    </xf>
    <xf numFmtId="1" fontId="6" fillId="31" borderId="25" xfId="0" applyNumberFormat="1" applyFont="1" applyFill="1" applyBorder="1" applyAlignment="1" applyProtection="1">
      <alignment horizontal="center" vertical="center" wrapText="1"/>
      <protection locked="0"/>
    </xf>
    <xf numFmtId="1" fontId="6" fillId="31" borderId="3" xfId="0" applyNumberFormat="1" applyFont="1" applyFill="1" applyBorder="1" applyAlignment="1">
      <alignment horizontal="center" vertical="center" wrapText="1"/>
    </xf>
    <xf numFmtId="1" fontId="5" fillId="31" borderId="3" xfId="0" applyNumberFormat="1" applyFont="1" applyFill="1" applyBorder="1" applyAlignment="1">
      <alignment horizontal="center" vertical="center" wrapText="1"/>
    </xf>
    <xf numFmtId="170" fontId="5" fillId="31" borderId="0" xfId="0" quotePrefix="1" applyNumberFormat="1" applyFont="1" applyFill="1" applyBorder="1" applyAlignment="1" applyProtection="1">
      <alignment horizontal="center"/>
      <protection locked="0"/>
    </xf>
    <xf numFmtId="170" fontId="6" fillId="31" borderId="0" xfId="0" applyNumberFormat="1" applyFont="1" applyFill="1" applyBorder="1" applyAlignment="1" applyProtection="1">
      <alignment horizontal="center" vertical="center" wrapText="1"/>
      <protection locked="0"/>
    </xf>
    <xf numFmtId="170" fontId="6" fillId="31" borderId="0" xfId="0" applyNumberFormat="1" applyFont="1" applyFill="1" applyBorder="1" applyAlignment="1">
      <alignment horizontal="center" vertical="center" wrapText="1"/>
    </xf>
    <xf numFmtId="0" fontId="6" fillId="31" borderId="0" xfId="0" applyFont="1" applyFill="1" applyBorder="1" applyAlignment="1">
      <alignment horizontal="center" vertical="center"/>
    </xf>
    <xf numFmtId="0" fontId="6" fillId="31" borderId="0" xfId="0" applyFont="1" applyFill="1" applyBorder="1" applyAlignment="1">
      <alignment horizontal="right" vertical="center"/>
    </xf>
    <xf numFmtId="0" fontId="6" fillId="31" borderId="3" xfId="0" applyFont="1" applyFill="1" applyBorder="1" applyAlignment="1">
      <alignment horizontal="center" vertical="center" wrapText="1" shrinkToFit="1"/>
    </xf>
    <xf numFmtId="169" fontId="5" fillId="31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31" borderId="0" xfId="0" applyFont="1" applyFill="1" applyAlignment="1">
      <alignment horizontal="center" vertical="center"/>
    </xf>
    <xf numFmtId="0" fontId="6" fillId="31" borderId="0" xfId="0" applyFont="1" applyFill="1" applyAlignment="1">
      <alignment vertical="center"/>
    </xf>
    <xf numFmtId="0" fontId="85" fillId="0" borderId="0" xfId="354" applyFont="1" applyBorder="1" applyAlignment="1">
      <alignment wrapText="1"/>
    </xf>
    <xf numFmtId="0" fontId="1" fillId="0" borderId="0" xfId="354"/>
    <xf numFmtId="0" fontId="85" fillId="0" borderId="19" xfId="354" applyFont="1" applyBorder="1" applyAlignment="1">
      <alignment wrapText="1"/>
    </xf>
    <xf numFmtId="0" fontId="85" fillId="0" borderId="23" xfId="354" applyFont="1" applyBorder="1" applyAlignment="1">
      <alignment wrapText="1"/>
    </xf>
    <xf numFmtId="0" fontId="11" fillId="0" borderId="32" xfId="354" applyFont="1" applyBorder="1" applyAlignment="1">
      <alignment horizontal="center" vertical="center" wrapText="1"/>
    </xf>
    <xf numFmtId="0" fontId="84" fillId="0" borderId="32" xfId="354" applyFont="1" applyBorder="1" applyAlignment="1">
      <alignment horizontal="center" vertical="center" wrapText="1"/>
    </xf>
    <xf numFmtId="0" fontId="88" fillId="0" borderId="32" xfId="354" applyFont="1" applyBorder="1" applyAlignment="1">
      <alignment horizontal="center" vertical="center" wrapText="1"/>
    </xf>
    <xf numFmtId="0" fontId="88" fillId="0" borderId="33" xfId="354" applyFont="1" applyBorder="1" applyAlignment="1">
      <alignment horizontal="center" vertical="center" wrapText="1"/>
    </xf>
    <xf numFmtId="0" fontId="88" fillId="0" borderId="23" xfId="354" applyFont="1" applyBorder="1" applyAlignment="1">
      <alignment horizontal="center" vertical="center" wrapText="1"/>
    </xf>
    <xf numFmtId="0" fontId="6" fillId="33" borderId="32" xfId="354" applyFont="1" applyFill="1" applyBorder="1" applyAlignment="1">
      <alignment horizontal="center" vertical="center" wrapText="1"/>
    </xf>
    <xf numFmtId="0" fontId="88" fillId="33" borderId="32" xfId="354" applyFont="1" applyFill="1" applyBorder="1" applyAlignment="1">
      <alignment horizontal="left" vertical="center" wrapText="1"/>
    </xf>
    <xf numFmtId="0" fontId="83" fillId="33" borderId="32" xfId="354" applyFont="1" applyFill="1" applyBorder="1" applyAlignment="1">
      <alignment horizontal="center" vertical="center" wrapText="1"/>
    </xf>
    <xf numFmtId="0" fontId="89" fillId="0" borderId="19" xfId="354" applyFont="1" applyBorder="1" applyAlignment="1">
      <alignment horizontal="center" wrapText="1"/>
    </xf>
    <xf numFmtId="3" fontId="89" fillId="0" borderId="19" xfId="354" applyNumberFormat="1" applyFont="1" applyBorder="1" applyAlignment="1">
      <alignment horizontal="center" vertical="center" wrapText="1"/>
    </xf>
    <xf numFmtId="3" fontId="83" fillId="0" borderId="32" xfId="354" applyNumberFormat="1" applyFont="1" applyBorder="1" applyAlignment="1">
      <alignment horizontal="center" vertical="center" wrapText="1"/>
    </xf>
    <xf numFmtId="3" fontId="83" fillId="0" borderId="33" xfId="354" applyNumberFormat="1" applyFont="1" applyBorder="1" applyAlignment="1">
      <alignment horizontal="center" vertical="center" wrapText="1"/>
    </xf>
    <xf numFmtId="0" fontId="85" fillId="0" borderId="32" xfId="354" applyFont="1" applyBorder="1" applyAlignment="1">
      <alignment wrapText="1"/>
    </xf>
    <xf numFmtId="9" fontId="89" fillId="0" borderId="32" xfId="354" applyNumberFormat="1" applyFont="1" applyBorder="1" applyAlignment="1">
      <alignment horizontal="center" wrapText="1"/>
    </xf>
    <xf numFmtId="0" fontId="88" fillId="33" borderId="32" xfId="354" applyFont="1" applyFill="1" applyBorder="1" applyAlignment="1">
      <alignment horizontal="center" vertical="center" wrapText="1"/>
    </xf>
    <xf numFmtId="0" fontId="90" fillId="33" borderId="32" xfId="354" applyFont="1" applyFill="1" applyBorder="1" applyAlignment="1">
      <alignment horizontal="center" vertical="center" wrapText="1"/>
    </xf>
    <xf numFmtId="3" fontId="82" fillId="0" borderId="32" xfId="354" applyNumberFormat="1" applyFont="1" applyBorder="1" applyAlignment="1">
      <alignment horizontal="center" vertical="center" wrapText="1"/>
    </xf>
    <xf numFmtId="3" fontId="82" fillId="0" borderId="33" xfId="354" applyNumberFormat="1" applyFont="1" applyBorder="1" applyAlignment="1">
      <alignment horizontal="center" vertical="center" wrapText="1"/>
    </xf>
    <xf numFmtId="0" fontId="84" fillId="33" borderId="32" xfId="354" applyFont="1" applyFill="1" applyBorder="1" applyAlignment="1">
      <alignment horizontal="left" vertical="center" wrapText="1"/>
    </xf>
    <xf numFmtId="0" fontId="83" fillId="0" borderId="32" xfId="354" applyFont="1" applyBorder="1" applyAlignment="1">
      <alignment horizontal="center" vertical="center" wrapText="1"/>
    </xf>
    <xf numFmtId="0" fontId="1" fillId="0" borderId="32" xfId="354" applyBorder="1"/>
    <xf numFmtId="9" fontId="83" fillId="0" borderId="32" xfId="354" applyNumberFormat="1" applyFont="1" applyBorder="1" applyAlignment="1">
      <alignment horizontal="center" vertical="center" wrapText="1"/>
    </xf>
    <xf numFmtId="0" fontId="82" fillId="33" borderId="32" xfId="354" applyFont="1" applyFill="1" applyBorder="1" applyAlignment="1">
      <alignment horizontal="center" vertical="center" wrapText="1"/>
    </xf>
    <xf numFmtId="0" fontId="91" fillId="33" borderId="32" xfId="354" applyFont="1" applyFill="1" applyBorder="1" applyAlignment="1">
      <alignment horizontal="center" vertical="center" wrapText="1"/>
    </xf>
    <xf numFmtId="0" fontId="92" fillId="33" borderId="32" xfId="354" applyFont="1" applyFill="1" applyBorder="1" applyAlignment="1">
      <alignment horizontal="left" vertical="center" wrapText="1"/>
    </xf>
    <xf numFmtId="0" fontId="92" fillId="33" borderId="32" xfId="354" applyFont="1" applyFill="1" applyBorder="1" applyAlignment="1">
      <alignment horizontal="center" vertical="center" wrapText="1"/>
    </xf>
    <xf numFmtId="0" fontId="92" fillId="0" borderId="32" xfId="354" applyFont="1" applyBorder="1" applyAlignment="1">
      <alignment horizontal="center" vertical="center" wrapText="1"/>
    </xf>
    <xf numFmtId="0" fontId="74" fillId="0" borderId="32" xfId="354" applyFont="1" applyBorder="1" applyAlignment="1">
      <alignment horizontal="center" vertical="center" wrapText="1"/>
    </xf>
    <xf numFmtId="3" fontId="92" fillId="0" borderId="32" xfId="354" applyNumberFormat="1" applyFont="1" applyBorder="1" applyAlignment="1">
      <alignment horizontal="center" vertical="center" wrapText="1"/>
    </xf>
    <xf numFmtId="0" fontId="88" fillId="0" borderId="17" xfId="354" applyFont="1" applyBorder="1" applyAlignment="1">
      <alignment horizontal="center" vertical="center" wrapText="1"/>
    </xf>
    <xf numFmtId="0" fontId="88" fillId="0" borderId="34" xfId="354" applyFont="1" applyBorder="1" applyAlignment="1">
      <alignment horizontal="center" vertical="center" wrapText="1"/>
    </xf>
    <xf numFmtId="180" fontId="1" fillId="0" borderId="0" xfId="353" applyNumberFormat="1" applyFont="1"/>
    <xf numFmtId="1" fontId="5" fillId="0" borderId="0" xfId="0" applyNumberFormat="1" applyFont="1" applyFill="1" applyAlignment="1">
      <alignment vertical="center"/>
    </xf>
    <xf numFmtId="0" fontId="11" fillId="0" borderId="32" xfId="354" applyFont="1" applyBorder="1" applyAlignment="1">
      <alignment horizontal="center" vertical="center" wrapText="1"/>
    </xf>
    <xf numFmtId="0" fontId="88" fillId="0" borderId="32" xfId="354" applyFont="1" applyBorder="1" applyAlignment="1">
      <alignment horizontal="center" vertical="center" wrapText="1"/>
    </xf>
    <xf numFmtId="0" fontId="88" fillId="32" borderId="32" xfId="354" applyFont="1" applyFill="1" applyBorder="1" applyAlignment="1">
      <alignment horizontal="left" vertical="center" wrapText="1"/>
    </xf>
    <xf numFmtId="49" fontId="6" fillId="31" borderId="28" xfId="0" applyNumberFormat="1" applyFont="1" applyFill="1" applyBorder="1" applyAlignment="1" applyProtection="1">
      <alignment horizontal="left" vertical="center" wrapText="1"/>
      <protection locked="0"/>
    </xf>
    <xf numFmtId="0" fontId="89" fillId="0" borderId="23" xfId="354" applyFont="1" applyBorder="1" applyAlignment="1">
      <alignment horizontal="center" wrapText="1"/>
    </xf>
    <xf numFmtId="0" fontId="89" fillId="0" borderId="32" xfId="354" applyFont="1" applyBorder="1" applyAlignment="1">
      <alignment horizontal="center" wrapText="1"/>
    </xf>
    <xf numFmtId="3" fontId="11" fillId="0" borderId="32" xfId="354" applyNumberFormat="1" applyFont="1" applyBorder="1" applyAlignment="1">
      <alignment horizontal="center" vertical="center" wrapText="1"/>
    </xf>
    <xf numFmtId="180" fontId="1" fillId="0" borderId="0" xfId="354" applyNumberFormat="1"/>
    <xf numFmtId="180" fontId="1" fillId="34" borderId="0" xfId="353" applyNumberFormat="1" applyFont="1" applyFill="1"/>
    <xf numFmtId="3" fontId="1" fillId="31" borderId="0" xfId="354" applyNumberFormat="1" applyFill="1"/>
    <xf numFmtId="180" fontId="1" fillId="31" borderId="0" xfId="354" applyNumberFormat="1" applyFill="1"/>
    <xf numFmtId="169" fontId="5" fillId="0" borderId="0" xfId="0" applyNumberFormat="1" applyFont="1" applyFill="1" applyAlignment="1">
      <alignment vertical="center"/>
    </xf>
    <xf numFmtId="1" fontId="5" fillId="31" borderId="3" xfId="0" applyNumberFormat="1" applyFont="1" applyFill="1" applyBorder="1" applyAlignment="1" applyProtection="1">
      <alignment horizontal="center" vertical="center" wrapText="1"/>
      <protection locked="0"/>
    </xf>
    <xf numFmtId="2" fontId="81" fillId="0" borderId="3" xfId="237" applyNumberFormat="1" applyFont="1" applyFill="1" applyBorder="1" applyAlignment="1">
      <alignment horizontal="center" vertical="center" wrapText="1"/>
    </xf>
    <xf numFmtId="170" fontId="72" fillId="0" borderId="32" xfId="237" applyNumberFormat="1" applyFont="1" applyFill="1" applyBorder="1" applyAlignment="1">
      <alignment horizontal="center" vertical="center" wrapText="1"/>
    </xf>
    <xf numFmtId="4" fontId="72" fillId="0" borderId="32" xfId="237" applyNumberFormat="1" applyFont="1" applyFill="1" applyBorder="1" applyAlignment="1">
      <alignment horizontal="center" vertical="center" wrapText="1"/>
    </xf>
    <xf numFmtId="170" fontId="95" fillId="0" borderId="32" xfId="237" applyNumberFormat="1" applyFont="1" applyFill="1" applyBorder="1" applyAlignment="1">
      <alignment horizontal="center" vertical="center" wrapText="1"/>
    </xf>
    <xf numFmtId="49" fontId="6" fillId="31" borderId="3" xfId="0" applyNumberFormat="1" applyFont="1" applyFill="1" applyBorder="1" applyAlignment="1" applyProtection="1">
      <alignment horizontal="left" vertical="center" wrapText="1"/>
      <protection locked="0"/>
    </xf>
    <xf numFmtId="0" fontId="76" fillId="0" borderId="3" xfId="0" applyFont="1" applyBorder="1" applyAlignment="1">
      <alignment horizontal="center" vertical="center" wrapText="1"/>
    </xf>
    <xf numFmtId="0" fontId="76" fillId="0" borderId="0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2" fillId="0" borderId="15" xfId="0" applyFont="1" applyFill="1" applyBorder="1" applyAlignment="1" applyProtection="1">
      <alignment horizontal="center" vertical="center" wrapText="1"/>
      <protection locked="0"/>
    </xf>
    <xf numFmtId="0" fontId="72" fillId="0" borderId="3" xfId="0" applyFont="1" applyFill="1" applyBorder="1" applyAlignment="1" applyProtection="1">
      <alignment horizontal="right" vertical="center"/>
      <protection locked="0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2" fillId="0" borderId="14" xfId="0" applyFont="1" applyFill="1" applyBorder="1" applyAlignment="1" applyProtection="1">
      <alignment horizontal="left" vertical="center" wrapText="1"/>
      <protection locked="0"/>
    </xf>
    <xf numFmtId="0" fontId="72" fillId="0" borderId="15" xfId="0" applyFont="1" applyFill="1" applyBorder="1" applyAlignment="1" applyProtection="1">
      <alignment horizontal="left" vertical="center" wrapText="1"/>
      <protection locked="0"/>
    </xf>
    <xf numFmtId="0" fontId="75" fillId="0" borderId="15" xfId="0" applyFont="1" applyBorder="1" applyAlignment="1" applyProtection="1">
      <alignment horizontal="left" vertical="center" wrapText="1"/>
      <protection locked="0"/>
    </xf>
    <xf numFmtId="0" fontId="75" fillId="0" borderId="16" xfId="0" applyFont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 applyProtection="1">
      <alignment horizontal="left" vertical="center" wrapText="1"/>
      <protection locked="0"/>
    </xf>
    <xf numFmtId="0" fontId="80" fillId="0" borderId="0" xfId="0" applyFont="1" applyFill="1" applyBorder="1" applyAlignment="1" applyProtection="1">
      <alignment horizontal="left" vertical="center" wrapText="1"/>
      <protection locked="0"/>
    </xf>
    <xf numFmtId="0" fontId="72" fillId="0" borderId="13" xfId="0" applyFont="1" applyFill="1" applyBorder="1" applyAlignment="1" applyProtection="1">
      <alignment horizontal="right" wrapText="1"/>
      <protection locked="0"/>
    </xf>
    <xf numFmtId="0" fontId="71" fillId="0" borderId="0" xfId="0" applyFont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73" fillId="0" borderId="0" xfId="0" applyFont="1" applyAlignment="1" applyProtection="1">
      <alignment horizontal="left" vertical="top" wrapText="1"/>
      <protection locked="0"/>
    </xf>
    <xf numFmtId="0" fontId="72" fillId="0" borderId="0" xfId="0" applyFont="1" applyFill="1" applyBorder="1" applyAlignment="1" applyProtection="1">
      <alignment horizontal="left" vertical="center"/>
      <protection locked="0"/>
    </xf>
    <xf numFmtId="0" fontId="72" fillId="0" borderId="0" xfId="0" applyFont="1" applyFill="1" applyBorder="1" applyAlignment="1" applyProtection="1">
      <alignment horizontal="center" wrapText="1"/>
      <protection locked="0"/>
    </xf>
    <xf numFmtId="0" fontId="72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17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6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4" xfId="237" applyNumberFormat="1" applyFont="1" applyFill="1" applyBorder="1" applyAlignment="1" applyProtection="1">
      <alignment horizontal="center" vertical="center" wrapText="1"/>
    </xf>
    <xf numFmtId="0" fontId="5" fillId="0" borderId="15" xfId="237" applyNumberFormat="1" applyFont="1" applyFill="1" applyBorder="1" applyAlignment="1" applyProtection="1">
      <alignment horizontal="center" vertical="center" wrapText="1"/>
    </xf>
    <xf numFmtId="0" fontId="5" fillId="0" borderId="16" xfId="237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 shrinkToFit="1"/>
    </xf>
    <xf numFmtId="0" fontId="6" fillId="0" borderId="19" xfId="0" applyFont="1" applyFill="1" applyBorder="1" applyAlignment="1" applyProtection="1">
      <alignment horizontal="center" vertical="center" wrapText="1" shrinkToFit="1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31" borderId="3" xfId="0" applyFont="1" applyFill="1" applyBorder="1" applyAlignment="1" applyProtection="1">
      <alignment horizontal="center" vertical="center" wrapText="1"/>
    </xf>
    <xf numFmtId="17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 wrapText="1" shrinkToFit="1"/>
    </xf>
    <xf numFmtId="0" fontId="5" fillId="0" borderId="14" xfId="245" applyFont="1" applyFill="1" applyBorder="1" applyAlignment="1">
      <alignment horizontal="center" vertical="center" wrapText="1"/>
    </xf>
    <xf numFmtId="0" fontId="5" fillId="0" borderId="15" xfId="245" applyFont="1" applyFill="1" applyBorder="1" applyAlignment="1">
      <alignment horizontal="center" vertical="center" wrapText="1"/>
    </xf>
    <xf numFmtId="0" fontId="5" fillId="0" borderId="16" xfId="245" applyFont="1" applyFill="1" applyBorder="1" applyAlignment="1">
      <alignment horizontal="center" vertical="center" wrapText="1"/>
    </xf>
    <xf numFmtId="170" fontId="6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0" xfId="245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245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8" xfId="245" applyFont="1" applyFill="1" applyBorder="1" applyAlignment="1">
      <alignment horizontal="center" vertical="center" wrapText="1"/>
    </xf>
    <xf numFmtId="0" fontId="6" fillId="0" borderId="19" xfId="245" applyFont="1" applyFill="1" applyBorder="1" applyAlignment="1">
      <alignment horizontal="center" vertical="center" wrapText="1"/>
    </xf>
    <xf numFmtId="0" fontId="6" fillId="31" borderId="3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vertical="center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170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37" applyNumberFormat="1" applyFont="1" applyFill="1" applyBorder="1" applyAlignment="1">
      <alignment horizontal="center" vertical="center" wrapText="1"/>
    </xf>
    <xf numFmtId="0" fontId="6" fillId="0" borderId="18" xfId="237" applyNumberFormat="1" applyFont="1" applyFill="1" applyBorder="1" applyAlignment="1">
      <alignment horizontal="center" vertical="center" wrapText="1"/>
    </xf>
    <xf numFmtId="0" fontId="6" fillId="0" borderId="19" xfId="237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31" borderId="3" xfId="0" applyFont="1" applyFill="1" applyBorder="1" applyAlignment="1" applyProtection="1">
      <alignment horizontal="left" vertical="center" wrapText="1"/>
    </xf>
    <xf numFmtId="178" fontId="6" fillId="31" borderId="14" xfId="0" applyNumberFormat="1" applyFont="1" applyFill="1" applyBorder="1" applyAlignment="1" applyProtection="1">
      <alignment horizontal="center" vertical="center" wrapText="1"/>
      <protection locked="0"/>
    </xf>
    <xf numFmtId="178" fontId="6" fillId="31" borderId="16" xfId="0" applyNumberFormat="1" applyFont="1" applyFill="1" applyBorder="1" applyAlignment="1" applyProtection="1">
      <alignment horizontal="center" vertical="center" wrapText="1"/>
      <protection locked="0"/>
    </xf>
    <xf numFmtId="9" fontId="81" fillId="0" borderId="14" xfId="0" applyNumberFormat="1" applyFont="1" applyFill="1" applyBorder="1" applyAlignment="1" applyProtection="1">
      <alignment horizontal="center" vertical="center" wrapText="1"/>
    </xf>
    <xf numFmtId="9" fontId="81" fillId="0" borderId="16" xfId="0" applyNumberFormat="1" applyFont="1" applyFill="1" applyBorder="1" applyAlignment="1" applyProtection="1">
      <alignment horizontal="center" vertical="center" wrapText="1"/>
    </xf>
    <xf numFmtId="10" fontId="6" fillId="0" borderId="14" xfId="0" applyNumberFormat="1" applyFont="1" applyFill="1" applyBorder="1" applyAlignment="1" applyProtection="1">
      <alignment horizontal="center" vertical="center" wrapText="1"/>
    </xf>
    <xf numFmtId="10" fontId="6" fillId="0" borderId="16" xfId="0" applyNumberFormat="1" applyFont="1" applyFill="1" applyBorder="1" applyAlignment="1" applyProtection="1">
      <alignment horizontal="center" vertical="center" wrapText="1"/>
    </xf>
    <xf numFmtId="10" fontId="81" fillId="0" borderId="14" xfId="0" applyNumberFormat="1" applyFont="1" applyFill="1" applyBorder="1" applyAlignment="1" applyProtection="1">
      <alignment horizontal="center" vertical="center" wrapText="1"/>
    </xf>
    <xf numFmtId="10" fontId="81" fillId="0" borderId="16" xfId="0" applyNumberFormat="1" applyFont="1" applyFill="1" applyBorder="1" applyAlignment="1" applyProtection="1">
      <alignment horizontal="center" vertical="center" wrapText="1"/>
    </xf>
    <xf numFmtId="9" fontId="6" fillId="0" borderId="14" xfId="0" applyNumberFormat="1" applyFont="1" applyFill="1" applyBorder="1" applyAlignment="1" applyProtection="1">
      <alignment horizontal="center" vertical="center" wrapText="1"/>
    </xf>
    <xf numFmtId="9" fontId="6" fillId="0" borderId="16" xfId="0" applyNumberFormat="1" applyFont="1" applyFill="1" applyBorder="1" applyAlignment="1" applyProtection="1">
      <alignment horizontal="center" vertical="center" wrapText="1"/>
    </xf>
    <xf numFmtId="3" fontId="72" fillId="31" borderId="14" xfId="0" applyNumberFormat="1" applyFont="1" applyFill="1" applyBorder="1" applyAlignment="1">
      <alignment horizontal="right" vertical="center" wrapText="1"/>
    </xf>
    <xf numFmtId="3" fontId="72" fillId="31" borderId="16" xfId="0" applyNumberFormat="1" applyFont="1" applyFill="1" applyBorder="1" applyAlignment="1">
      <alignment horizontal="right" vertical="center" wrapText="1"/>
    </xf>
    <xf numFmtId="0" fontId="5" fillId="31" borderId="14" xfId="0" applyFont="1" applyFill="1" applyBorder="1" applyAlignment="1" applyProtection="1">
      <alignment horizontal="center" vertical="center" wrapText="1"/>
    </xf>
    <xf numFmtId="0" fontId="5" fillId="31" borderId="15" xfId="0" applyFont="1" applyFill="1" applyBorder="1" applyAlignment="1" applyProtection="1">
      <alignment horizontal="center" vertical="center" wrapText="1"/>
    </xf>
    <xf numFmtId="0" fontId="5" fillId="31" borderId="1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178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2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178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justify" vertical="center" wrapText="1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vertical="center" wrapText="1"/>
    </xf>
    <xf numFmtId="0" fontId="5" fillId="0" borderId="0" xfId="354" applyFont="1" applyBorder="1" applyAlignment="1">
      <alignment horizontal="center"/>
    </xf>
    <xf numFmtId="0" fontId="6" fillId="0" borderId="0" xfId="354" applyFont="1" applyBorder="1" applyAlignment="1">
      <alignment horizontal="center"/>
    </xf>
    <xf numFmtId="0" fontId="11" fillId="0" borderId="32" xfId="354" applyFont="1" applyBorder="1" applyAlignment="1">
      <alignment horizontal="center" vertical="center" wrapText="1"/>
    </xf>
    <xf numFmtId="0" fontId="88" fillId="0" borderId="32" xfId="354" applyFont="1" applyBorder="1" applyAlignment="1">
      <alignment horizontal="center" vertical="center" wrapText="1"/>
    </xf>
    <xf numFmtId="0" fontId="88" fillId="0" borderId="33" xfId="354" applyFont="1" applyBorder="1" applyAlignment="1">
      <alignment horizontal="center" vertical="center" wrapText="1"/>
    </xf>
    <xf numFmtId="0" fontId="88" fillId="0" borderId="27" xfId="354" applyFont="1" applyBorder="1" applyAlignment="1">
      <alignment horizontal="center" vertical="center" wrapText="1"/>
    </xf>
    <xf numFmtId="0" fontId="88" fillId="0" borderId="26" xfId="354" applyFont="1" applyBorder="1" applyAlignment="1">
      <alignment horizontal="center" vertical="center" wrapText="1"/>
    </xf>
    <xf numFmtId="0" fontId="88" fillId="0" borderId="19" xfId="354" applyFont="1" applyBorder="1" applyAlignment="1">
      <alignment horizontal="center" vertical="center" wrapText="1"/>
    </xf>
    <xf numFmtId="0" fontId="88" fillId="34" borderId="32" xfId="354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49" fontId="11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 shrinkToFit="1"/>
    </xf>
    <xf numFmtId="0" fontId="6" fillId="0" borderId="15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3" fontId="6" fillId="0" borderId="14" xfId="0" applyNumberFormat="1" applyFont="1" applyFill="1" applyBorder="1" applyAlignment="1">
      <alignment horizontal="left" vertical="center" wrapText="1"/>
    </xf>
    <xf numFmtId="3" fontId="6" fillId="0" borderId="15" xfId="0" applyNumberFormat="1" applyFont="1" applyFill="1" applyBorder="1" applyAlignment="1">
      <alignment horizontal="left" vertical="center" wrapText="1"/>
    </xf>
    <xf numFmtId="3" fontId="6" fillId="0" borderId="16" xfId="0" applyNumberFormat="1" applyFont="1" applyFill="1" applyBorder="1" applyAlignment="1">
      <alignment horizontal="left" vertical="center" wrapText="1"/>
    </xf>
    <xf numFmtId="179" fontId="6" fillId="0" borderId="29" xfId="0" applyNumberFormat="1" applyFont="1" applyFill="1" applyBorder="1" applyAlignment="1" applyProtection="1">
      <alignment horizontal="left" vertical="center" wrapText="1"/>
      <protection locked="0"/>
    </xf>
    <xf numFmtId="179" fontId="6" fillId="0" borderId="30" xfId="0" applyNumberFormat="1" applyFont="1" applyFill="1" applyBorder="1" applyAlignment="1" applyProtection="1">
      <alignment horizontal="left" vertical="center" wrapText="1"/>
      <protection locked="0"/>
    </xf>
    <xf numFmtId="179" fontId="6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 vertical="center" wrapText="1"/>
    </xf>
  </cellXfs>
  <cellStyles count="355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19" xfId="354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" xfId="353" builtinId="3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7;&#1030;&#1055;&#1045;&#1053;&#1050;&#1054;%20&#1070;.&#1057;/&#1047;&#1074;&#1110;&#1090;&#1080;%20&#1079;&#1072;%202019%20&#1088;&#1110;&#1082;/&#1110;&#1085;&#1092;&#1086;&#1089;&#1080;&#1089;&#1090;&#1077;&#1084;&#1080;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інплан - зведені показники"/>
      <sheetName val="1. Фін результат"/>
      <sheetName val="2. Розрахунки з бюджетом"/>
      <sheetName val="3. Рух грошових коштів"/>
      <sheetName val="4. Кап. інвестиції"/>
      <sheetName val=" 5. Коефіцієнти"/>
      <sheetName val="6.1. Інша інфо_1"/>
      <sheetName val="6.2. Інша інфо_2"/>
      <sheetName val="БАЛАНС"/>
    </sheetNames>
    <sheetDataSet>
      <sheetData sheetId="0">
        <row r="38">
          <cell r="E38">
            <v>-10250.18</v>
          </cell>
        </row>
        <row r="44">
          <cell r="E44">
            <v>-13585.031000000001</v>
          </cell>
        </row>
        <row r="70">
          <cell r="E70">
            <v>69419</v>
          </cell>
        </row>
        <row r="73">
          <cell r="E73">
            <v>314</v>
          </cell>
        </row>
        <row r="76">
          <cell r="E76">
            <v>69105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5:F20"/>
  <sheetViews>
    <sheetView workbookViewId="0">
      <selection activeCell="C18" sqref="C18"/>
    </sheetView>
  </sheetViews>
  <sheetFormatPr defaultRowHeight="12.75"/>
  <cols>
    <col min="1" max="1" width="17.5703125" customWidth="1"/>
    <col min="2" max="2" width="16" customWidth="1"/>
    <col min="3" max="3" width="13" customWidth="1"/>
    <col min="4" max="4" width="13.140625" customWidth="1"/>
    <col min="5" max="6" width="12.140625" customWidth="1"/>
  </cols>
  <sheetData>
    <row r="5" spans="1:6" ht="25.5">
      <c r="A5" s="349" t="s">
        <v>389</v>
      </c>
      <c r="B5" s="349"/>
      <c r="C5" s="350" t="s">
        <v>390</v>
      </c>
      <c r="D5" s="350"/>
      <c r="E5" s="151" t="s">
        <v>391</v>
      </c>
      <c r="F5" s="151" t="s">
        <v>392</v>
      </c>
    </row>
    <row r="6" spans="1:6" ht="18">
      <c r="A6" s="148" t="s">
        <v>387</v>
      </c>
      <c r="B6" s="165">
        <v>0.22</v>
      </c>
      <c r="C6" s="167"/>
      <c r="D6" s="168"/>
      <c r="E6" s="150">
        <v>0.18</v>
      </c>
      <c r="F6" s="149">
        <v>1.4999999999999999E-2</v>
      </c>
    </row>
    <row r="7" spans="1:6" ht="25.5">
      <c r="A7" s="148" t="s">
        <v>388</v>
      </c>
      <c r="B7" s="171">
        <v>8.4099999999999994E-2</v>
      </c>
      <c r="C7" s="167"/>
      <c r="D7" s="154"/>
      <c r="E7" s="154"/>
      <c r="F7" s="154"/>
    </row>
    <row r="8" spans="1:6" ht="72.75" customHeight="1">
      <c r="A8" s="167"/>
      <c r="B8" s="168"/>
      <c r="C8" s="167"/>
      <c r="D8" s="168"/>
      <c r="E8" s="154"/>
      <c r="F8" s="154"/>
    </row>
    <row r="10" spans="1:6" ht="24" customHeight="1">
      <c r="B10" s="146"/>
      <c r="C10" s="147" t="s">
        <v>378</v>
      </c>
      <c r="D10" s="147" t="s">
        <v>370</v>
      </c>
      <c r="E10" s="147" t="s">
        <v>371</v>
      </c>
      <c r="F10" s="147" t="s">
        <v>85</v>
      </c>
    </row>
    <row r="11" spans="1:6" ht="25.5">
      <c r="B11" s="152" t="s">
        <v>394</v>
      </c>
      <c r="C11" s="163">
        <f>'I. Фін результат'!F110</f>
        <v>499</v>
      </c>
      <c r="D11" s="163">
        <f>'I. Фін результат'!G110</f>
        <v>1412</v>
      </c>
      <c r="E11" s="163">
        <f>'I. Фін результат'!H110</f>
        <v>2478</v>
      </c>
      <c r="F11" s="163">
        <f>'I. Фін результат'!I110</f>
        <v>3546</v>
      </c>
    </row>
    <row r="12" spans="1:6" ht="26.25" customHeight="1">
      <c r="B12" s="153" t="s">
        <v>393</v>
      </c>
      <c r="C12" s="164">
        <f>ROUND((штатка!N42+штатка!N41)/1000,0)</f>
        <v>13</v>
      </c>
      <c r="D12" s="164">
        <f>ROUND((штатка!O42+штатка!O41)/1000,0)</f>
        <v>37</v>
      </c>
      <c r="E12" s="164">
        <f>ROUND((штатка!P42+штатка!P41)/1000,0)</f>
        <v>66</v>
      </c>
      <c r="F12" s="164">
        <f>ROUND((штатка!Q42+штатка!Q41)/1000,0)</f>
        <v>95</v>
      </c>
    </row>
    <row r="13" spans="1:6">
      <c r="B13" s="169"/>
      <c r="C13" s="170"/>
      <c r="D13" s="170"/>
      <c r="E13" s="170"/>
      <c r="F13" s="170"/>
    </row>
    <row r="17" spans="2:6" ht="25.5">
      <c r="B17" s="143" t="s">
        <v>6</v>
      </c>
      <c r="C17" s="145">
        <f>(C11-C12)*$B$6+C12*$B$7</f>
        <v>108.0133</v>
      </c>
      <c r="D17" s="145">
        <f>(D11-D12)*$B$6+D12*$B$7</f>
        <v>305.61169999999998</v>
      </c>
      <c r="E17" s="145">
        <f>(E11-E12)*$B$6+E12*$B$7</f>
        <v>536.19060000000002</v>
      </c>
      <c r="F17" s="145">
        <f>(F11-F12)*$B$6+F12*$B$7</f>
        <v>767.20950000000005</v>
      </c>
    </row>
    <row r="18" spans="2:6" ht="38.25">
      <c r="B18" s="144" t="s">
        <v>395</v>
      </c>
      <c r="C18" s="145">
        <f>C11*$E$6</f>
        <v>89.82</v>
      </c>
      <c r="D18" s="145">
        <f>D11*$E$6</f>
        <v>254.16</v>
      </c>
      <c r="E18" s="145">
        <f>E11*$E$6</f>
        <v>446.03999999999996</v>
      </c>
      <c r="F18" s="145">
        <f>F11*$E$6</f>
        <v>638.28</v>
      </c>
    </row>
    <row r="19" spans="2:6">
      <c r="B19" s="148" t="s">
        <v>392</v>
      </c>
      <c r="C19" s="145">
        <f>C11*$F$6</f>
        <v>7.4849999999999994</v>
      </c>
      <c r="D19" s="145">
        <f>D11*$F$6</f>
        <v>21.18</v>
      </c>
      <c r="E19" s="145">
        <f>E11*$F$6</f>
        <v>37.17</v>
      </c>
      <c r="F19" s="145">
        <f>F11*$F$6</f>
        <v>53.19</v>
      </c>
    </row>
    <row r="20" spans="2:6">
      <c r="C20" s="142"/>
      <c r="D20" s="142"/>
      <c r="E20" s="142"/>
      <c r="F20" s="142"/>
    </row>
  </sheetData>
  <sheetProtection password="C6FB" sheet="1"/>
  <mergeCells count="2">
    <mergeCell ref="A5:B5"/>
    <mergeCell ref="C5:D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X64"/>
  <sheetViews>
    <sheetView topLeftCell="A14" workbookViewId="0">
      <selection activeCell="P42" sqref="P42"/>
    </sheetView>
  </sheetViews>
  <sheetFormatPr defaultRowHeight="15"/>
  <cols>
    <col min="1" max="1" width="9.140625" style="295"/>
    <col min="2" max="2" width="27.42578125" style="295" customWidth="1"/>
    <col min="3" max="3" width="8.28515625" style="295" customWidth="1"/>
    <col min="4" max="6" width="0" style="295" hidden="1" customWidth="1"/>
    <col min="7" max="7" width="8" style="295" customWidth="1"/>
    <col min="8" max="11" width="11.5703125" style="295" customWidth="1"/>
    <col min="12" max="12" width="12.28515625" style="295" customWidth="1"/>
    <col min="13" max="13" width="13" style="295" customWidth="1"/>
    <col min="14" max="16" width="11.42578125" style="295" bestFit="1" customWidth="1"/>
    <col min="17" max="17" width="15" style="295" bestFit="1" customWidth="1"/>
    <col min="18" max="21" width="10" style="295" bestFit="1" customWidth="1"/>
    <col min="22" max="22" width="9.140625" style="295"/>
    <col min="23" max="23" width="10" style="295" bestFit="1" customWidth="1"/>
    <col min="24" max="261" width="9.140625" style="295"/>
    <col min="262" max="262" width="27.42578125" style="295" customWidth="1"/>
    <col min="263" max="263" width="8.28515625" style="295" customWidth="1"/>
    <col min="264" max="266" width="9.140625" style="295"/>
    <col min="267" max="267" width="11.5703125" style="295" customWidth="1"/>
    <col min="268" max="268" width="12.28515625" style="295" customWidth="1"/>
    <col min="269" max="517" width="9.140625" style="295"/>
    <col min="518" max="518" width="27.42578125" style="295" customWidth="1"/>
    <col min="519" max="519" width="8.28515625" style="295" customWidth="1"/>
    <col min="520" max="522" width="9.140625" style="295"/>
    <col min="523" max="523" width="11.5703125" style="295" customWidth="1"/>
    <col min="524" max="524" width="12.28515625" style="295" customWidth="1"/>
    <col min="525" max="773" width="9.140625" style="295"/>
    <col min="774" max="774" width="27.42578125" style="295" customWidth="1"/>
    <col min="775" max="775" width="8.28515625" style="295" customWidth="1"/>
    <col min="776" max="778" width="9.140625" style="295"/>
    <col min="779" max="779" width="11.5703125" style="295" customWidth="1"/>
    <col min="780" max="780" width="12.28515625" style="295" customWidth="1"/>
    <col min="781" max="1029" width="9.140625" style="295"/>
    <col min="1030" max="1030" width="27.42578125" style="295" customWidth="1"/>
    <col min="1031" max="1031" width="8.28515625" style="295" customWidth="1"/>
    <col min="1032" max="1034" width="9.140625" style="295"/>
    <col min="1035" max="1035" width="11.5703125" style="295" customWidth="1"/>
    <col min="1036" max="1036" width="12.28515625" style="295" customWidth="1"/>
    <col min="1037" max="1285" width="9.140625" style="295"/>
    <col min="1286" max="1286" width="27.42578125" style="295" customWidth="1"/>
    <col min="1287" max="1287" width="8.28515625" style="295" customWidth="1"/>
    <col min="1288" max="1290" width="9.140625" style="295"/>
    <col min="1291" max="1291" width="11.5703125" style="295" customWidth="1"/>
    <col min="1292" max="1292" width="12.28515625" style="295" customWidth="1"/>
    <col min="1293" max="1541" width="9.140625" style="295"/>
    <col min="1542" max="1542" width="27.42578125" style="295" customWidth="1"/>
    <col min="1543" max="1543" width="8.28515625" style="295" customWidth="1"/>
    <col min="1544" max="1546" width="9.140625" style="295"/>
    <col min="1547" max="1547" width="11.5703125" style="295" customWidth="1"/>
    <col min="1548" max="1548" width="12.28515625" style="295" customWidth="1"/>
    <col min="1549" max="1797" width="9.140625" style="295"/>
    <col min="1798" max="1798" width="27.42578125" style="295" customWidth="1"/>
    <col min="1799" max="1799" width="8.28515625" style="295" customWidth="1"/>
    <col min="1800" max="1802" width="9.140625" style="295"/>
    <col min="1803" max="1803" width="11.5703125" style="295" customWidth="1"/>
    <col min="1804" max="1804" width="12.28515625" style="295" customWidth="1"/>
    <col min="1805" max="2053" width="9.140625" style="295"/>
    <col min="2054" max="2054" width="27.42578125" style="295" customWidth="1"/>
    <col min="2055" max="2055" width="8.28515625" style="295" customWidth="1"/>
    <col min="2056" max="2058" width="9.140625" style="295"/>
    <col min="2059" max="2059" width="11.5703125" style="295" customWidth="1"/>
    <col min="2060" max="2060" width="12.28515625" style="295" customWidth="1"/>
    <col min="2061" max="2309" width="9.140625" style="295"/>
    <col min="2310" max="2310" width="27.42578125" style="295" customWidth="1"/>
    <col min="2311" max="2311" width="8.28515625" style="295" customWidth="1"/>
    <col min="2312" max="2314" width="9.140625" style="295"/>
    <col min="2315" max="2315" width="11.5703125" style="295" customWidth="1"/>
    <col min="2316" max="2316" width="12.28515625" style="295" customWidth="1"/>
    <col min="2317" max="2565" width="9.140625" style="295"/>
    <col min="2566" max="2566" width="27.42578125" style="295" customWidth="1"/>
    <col min="2567" max="2567" width="8.28515625" style="295" customWidth="1"/>
    <col min="2568" max="2570" width="9.140625" style="295"/>
    <col min="2571" max="2571" width="11.5703125" style="295" customWidth="1"/>
    <col min="2572" max="2572" width="12.28515625" style="295" customWidth="1"/>
    <col min="2573" max="2821" width="9.140625" style="295"/>
    <col min="2822" max="2822" width="27.42578125" style="295" customWidth="1"/>
    <col min="2823" max="2823" width="8.28515625" style="295" customWidth="1"/>
    <col min="2824" max="2826" width="9.140625" style="295"/>
    <col min="2827" max="2827" width="11.5703125" style="295" customWidth="1"/>
    <col min="2828" max="2828" width="12.28515625" style="295" customWidth="1"/>
    <col min="2829" max="3077" width="9.140625" style="295"/>
    <col min="3078" max="3078" width="27.42578125" style="295" customWidth="1"/>
    <col min="3079" max="3079" width="8.28515625" style="295" customWidth="1"/>
    <col min="3080" max="3082" width="9.140625" style="295"/>
    <col min="3083" max="3083" width="11.5703125" style="295" customWidth="1"/>
    <col min="3084" max="3084" width="12.28515625" style="295" customWidth="1"/>
    <col min="3085" max="3333" width="9.140625" style="295"/>
    <col min="3334" max="3334" width="27.42578125" style="295" customWidth="1"/>
    <col min="3335" max="3335" width="8.28515625" style="295" customWidth="1"/>
    <col min="3336" max="3338" width="9.140625" style="295"/>
    <col min="3339" max="3339" width="11.5703125" style="295" customWidth="1"/>
    <col min="3340" max="3340" width="12.28515625" style="295" customWidth="1"/>
    <col min="3341" max="3589" width="9.140625" style="295"/>
    <col min="3590" max="3590" width="27.42578125" style="295" customWidth="1"/>
    <col min="3591" max="3591" width="8.28515625" style="295" customWidth="1"/>
    <col min="3592" max="3594" width="9.140625" style="295"/>
    <col min="3595" max="3595" width="11.5703125" style="295" customWidth="1"/>
    <col min="3596" max="3596" width="12.28515625" style="295" customWidth="1"/>
    <col min="3597" max="3845" width="9.140625" style="295"/>
    <col min="3846" max="3846" width="27.42578125" style="295" customWidth="1"/>
    <col min="3847" max="3847" width="8.28515625" style="295" customWidth="1"/>
    <col min="3848" max="3850" width="9.140625" style="295"/>
    <col min="3851" max="3851" width="11.5703125" style="295" customWidth="1"/>
    <col min="3852" max="3852" width="12.28515625" style="295" customWidth="1"/>
    <col min="3853" max="4101" width="9.140625" style="295"/>
    <col min="4102" max="4102" width="27.42578125" style="295" customWidth="1"/>
    <col min="4103" max="4103" width="8.28515625" style="295" customWidth="1"/>
    <col min="4104" max="4106" width="9.140625" style="295"/>
    <col min="4107" max="4107" width="11.5703125" style="295" customWidth="1"/>
    <col min="4108" max="4108" width="12.28515625" style="295" customWidth="1"/>
    <col min="4109" max="4357" width="9.140625" style="295"/>
    <col min="4358" max="4358" width="27.42578125" style="295" customWidth="1"/>
    <col min="4359" max="4359" width="8.28515625" style="295" customWidth="1"/>
    <col min="4360" max="4362" width="9.140625" style="295"/>
    <col min="4363" max="4363" width="11.5703125" style="295" customWidth="1"/>
    <col min="4364" max="4364" width="12.28515625" style="295" customWidth="1"/>
    <col min="4365" max="4613" width="9.140625" style="295"/>
    <col min="4614" max="4614" width="27.42578125" style="295" customWidth="1"/>
    <col min="4615" max="4615" width="8.28515625" style="295" customWidth="1"/>
    <col min="4616" max="4618" width="9.140625" style="295"/>
    <col min="4619" max="4619" width="11.5703125" style="295" customWidth="1"/>
    <col min="4620" max="4620" width="12.28515625" style="295" customWidth="1"/>
    <col min="4621" max="4869" width="9.140625" style="295"/>
    <col min="4870" max="4870" width="27.42578125" style="295" customWidth="1"/>
    <col min="4871" max="4871" width="8.28515625" style="295" customWidth="1"/>
    <col min="4872" max="4874" width="9.140625" style="295"/>
    <col min="4875" max="4875" width="11.5703125" style="295" customWidth="1"/>
    <col min="4876" max="4876" width="12.28515625" style="295" customWidth="1"/>
    <col min="4877" max="5125" width="9.140625" style="295"/>
    <col min="5126" max="5126" width="27.42578125" style="295" customWidth="1"/>
    <col min="5127" max="5127" width="8.28515625" style="295" customWidth="1"/>
    <col min="5128" max="5130" width="9.140625" style="295"/>
    <col min="5131" max="5131" width="11.5703125" style="295" customWidth="1"/>
    <col min="5132" max="5132" width="12.28515625" style="295" customWidth="1"/>
    <col min="5133" max="5381" width="9.140625" style="295"/>
    <col min="5382" max="5382" width="27.42578125" style="295" customWidth="1"/>
    <col min="5383" max="5383" width="8.28515625" style="295" customWidth="1"/>
    <col min="5384" max="5386" width="9.140625" style="295"/>
    <col min="5387" max="5387" width="11.5703125" style="295" customWidth="1"/>
    <col min="5388" max="5388" width="12.28515625" style="295" customWidth="1"/>
    <col min="5389" max="5637" width="9.140625" style="295"/>
    <col min="5638" max="5638" width="27.42578125" style="295" customWidth="1"/>
    <col min="5639" max="5639" width="8.28515625" style="295" customWidth="1"/>
    <col min="5640" max="5642" width="9.140625" style="295"/>
    <col min="5643" max="5643" width="11.5703125" style="295" customWidth="1"/>
    <col min="5644" max="5644" width="12.28515625" style="295" customWidth="1"/>
    <col min="5645" max="5893" width="9.140625" style="295"/>
    <col min="5894" max="5894" width="27.42578125" style="295" customWidth="1"/>
    <col min="5895" max="5895" width="8.28515625" style="295" customWidth="1"/>
    <col min="5896" max="5898" width="9.140625" style="295"/>
    <col min="5899" max="5899" width="11.5703125" style="295" customWidth="1"/>
    <col min="5900" max="5900" width="12.28515625" style="295" customWidth="1"/>
    <col min="5901" max="6149" width="9.140625" style="295"/>
    <col min="6150" max="6150" width="27.42578125" style="295" customWidth="1"/>
    <col min="6151" max="6151" width="8.28515625" style="295" customWidth="1"/>
    <col min="6152" max="6154" width="9.140625" style="295"/>
    <col min="6155" max="6155" width="11.5703125" style="295" customWidth="1"/>
    <col min="6156" max="6156" width="12.28515625" style="295" customWidth="1"/>
    <col min="6157" max="6405" width="9.140625" style="295"/>
    <col min="6406" max="6406" width="27.42578125" style="295" customWidth="1"/>
    <col min="6407" max="6407" width="8.28515625" style="295" customWidth="1"/>
    <col min="6408" max="6410" width="9.140625" style="295"/>
    <col min="6411" max="6411" width="11.5703125" style="295" customWidth="1"/>
    <col min="6412" max="6412" width="12.28515625" style="295" customWidth="1"/>
    <col min="6413" max="6661" width="9.140625" style="295"/>
    <col min="6662" max="6662" width="27.42578125" style="295" customWidth="1"/>
    <col min="6663" max="6663" width="8.28515625" style="295" customWidth="1"/>
    <col min="6664" max="6666" width="9.140625" style="295"/>
    <col min="6667" max="6667" width="11.5703125" style="295" customWidth="1"/>
    <col min="6668" max="6668" width="12.28515625" style="295" customWidth="1"/>
    <col min="6669" max="6917" width="9.140625" style="295"/>
    <col min="6918" max="6918" width="27.42578125" style="295" customWidth="1"/>
    <col min="6919" max="6919" width="8.28515625" style="295" customWidth="1"/>
    <col min="6920" max="6922" width="9.140625" style="295"/>
    <col min="6923" max="6923" width="11.5703125" style="295" customWidth="1"/>
    <col min="6924" max="6924" width="12.28515625" style="295" customWidth="1"/>
    <col min="6925" max="7173" width="9.140625" style="295"/>
    <col min="7174" max="7174" width="27.42578125" style="295" customWidth="1"/>
    <col min="7175" max="7175" width="8.28515625" style="295" customWidth="1"/>
    <col min="7176" max="7178" width="9.140625" style="295"/>
    <col min="7179" max="7179" width="11.5703125" style="295" customWidth="1"/>
    <col min="7180" max="7180" width="12.28515625" style="295" customWidth="1"/>
    <col min="7181" max="7429" width="9.140625" style="295"/>
    <col min="7430" max="7430" width="27.42578125" style="295" customWidth="1"/>
    <col min="7431" max="7431" width="8.28515625" style="295" customWidth="1"/>
    <col min="7432" max="7434" width="9.140625" style="295"/>
    <col min="7435" max="7435" width="11.5703125" style="295" customWidth="1"/>
    <col min="7436" max="7436" width="12.28515625" style="295" customWidth="1"/>
    <col min="7437" max="7685" width="9.140625" style="295"/>
    <col min="7686" max="7686" width="27.42578125" style="295" customWidth="1"/>
    <col min="7687" max="7687" width="8.28515625" style="295" customWidth="1"/>
    <col min="7688" max="7690" width="9.140625" style="295"/>
    <col min="7691" max="7691" width="11.5703125" style="295" customWidth="1"/>
    <col min="7692" max="7692" width="12.28515625" style="295" customWidth="1"/>
    <col min="7693" max="7941" width="9.140625" style="295"/>
    <col min="7942" max="7942" width="27.42578125" style="295" customWidth="1"/>
    <col min="7943" max="7943" width="8.28515625" style="295" customWidth="1"/>
    <col min="7944" max="7946" width="9.140625" style="295"/>
    <col min="7947" max="7947" width="11.5703125" style="295" customWidth="1"/>
    <col min="7948" max="7948" width="12.28515625" style="295" customWidth="1"/>
    <col min="7949" max="8197" width="9.140625" style="295"/>
    <col min="8198" max="8198" width="27.42578125" style="295" customWidth="1"/>
    <col min="8199" max="8199" width="8.28515625" style="295" customWidth="1"/>
    <col min="8200" max="8202" width="9.140625" style="295"/>
    <col min="8203" max="8203" width="11.5703125" style="295" customWidth="1"/>
    <col min="8204" max="8204" width="12.28515625" style="295" customWidth="1"/>
    <col min="8205" max="8453" width="9.140625" style="295"/>
    <col min="8454" max="8454" width="27.42578125" style="295" customWidth="1"/>
    <col min="8455" max="8455" width="8.28515625" style="295" customWidth="1"/>
    <col min="8456" max="8458" width="9.140625" style="295"/>
    <col min="8459" max="8459" width="11.5703125" style="295" customWidth="1"/>
    <col min="8460" max="8460" width="12.28515625" style="295" customWidth="1"/>
    <col min="8461" max="8709" width="9.140625" style="295"/>
    <col min="8710" max="8710" width="27.42578125" style="295" customWidth="1"/>
    <col min="8711" max="8711" width="8.28515625" style="295" customWidth="1"/>
    <col min="8712" max="8714" width="9.140625" style="295"/>
    <col min="8715" max="8715" width="11.5703125" style="295" customWidth="1"/>
    <col min="8716" max="8716" width="12.28515625" style="295" customWidth="1"/>
    <col min="8717" max="8965" width="9.140625" style="295"/>
    <col min="8966" max="8966" width="27.42578125" style="295" customWidth="1"/>
    <col min="8967" max="8967" width="8.28515625" style="295" customWidth="1"/>
    <col min="8968" max="8970" width="9.140625" style="295"/>
    <col min="8971" max="8971" width="11.5703125" style="295" customWidth="1"/>
    <col min="8972" max="8972" width="12.28515625" style="295" customWidth="1"/>
    <col min="8973" max="9221" width="9.140625" style="295"/>
    <col min="9222" max="9222" width="27.42578125" style="295" customWidth="1"/>
    <col min="9223" max="9223" width="8.28515625" style="295" customWidth="1"/>
    <col min="9224" max="9226" width="9.140625" style="295"/>
    <col min="9227" max="9227" width="11.5703125" style="295" customWidth="1"/>
    <col min="9228" max="9228" width="12.28515625" style="295" customWidth="1"/>
    <col min="9229" max="9477" width="9.140625" style="295"/>
    <col min="9478" max="9478" width="27.42578125" style="295" customWidth="1"/>
    <col min="9479" max="9479" width="8.28515625" style="295" customWidth="1"/>
    <col min="9480" max="9482" width="9.140625" style="295"/>
    <col min="9483" max="9483" width="11.5703125" style="295" customWidth="1"/>
    <col min="9484" max="9484" width="12.28515625" style="295" customWidth="1"/>
    <col min="9485" max="9733" width="9.140625" style="295"/>
    <col min="9734" max="9734" width="27.42578125" style="295" customWidth="1"/>
    <col min="9735" max="9735" width="8.28515625" style="295" customWidth="1"/>
    <col min="9736" max="9738" width="9.140625" style="295"/>
    <col min="9739" max="9739" width="11.5703125" style="295" customWidth="1"/>
    <col min="9740" max="9740" width="12.28515625" style="295" customWidth="1"/>
    <col min="9741" max="9989" width="9.140625" style="295"/>
    <col min="9990" max="9990" width="27.42578125" style="295" customWidth="1"/>
    <col min="9991" max="9991" width="8.28515625" style="295" customWidth="1"/>
    <col min="9992" max="9994" width="9.140625" style="295"/>
    <col min="9995" max="9995" width="11.5703125" style="295" customWidth="1"/>
    <col min="9996" max="9996" width="12.28515625" style="295" customWidth="1"/>
    <col min="9997" max="10245" width="9.140625" style="295"/>
    <col min="10246" max="10246" width="27.42578125" style="295" customWidth="1"/>
    <col min="10247" max="10247" width="8.28515625" style="295" customWidth="1"/>
    <col min="10248" max="10250" width="9.140625" style="295"/>
    <col min="10251" max="10251" width="11.5703125" style="295" customWidth="1"/>
    <col min="10252" max="10252" width="12.28515625" style="295" customWidth="1"/>
    <col min="10253" max="10501" width="9.140625" style="295"/>
    <col min="10502" max="10502" width="27.42578125" style="295" customWidth="1"/>
    <col min="10503" max="10503" width="8.28515625" style="295" customWidth="1"/>
    <col min="10504" max="10506" width="9.140625" style="295"/>
    <col min="10507" max="10507" width="11.5703125" style="295" customWidth="1"/>
    <col min="10508" max="10508" width="12.28515625" style="295" customWidth="1"/>
    <col min="10509" max="10757" width="9.140625" style="295"/>
    <col min="10758" max="10758" width="27.42578125" style="295" customWidth="1"/>
    <col min="10759" max="10759" width="8.28515625" style="295" customWidth="1"/>
    <col min="10760" max="10762" width="9.140625" style="295"/>
    <col min="10763" max="10763" width="11.5703125" style="295" customWidth="1"/>
    <col min="10764" max="10764" width="12.28515625" style="295" customWidth="1"/>
    <col min="10765" max="11013" width="9.140625" style="295"/>
    <col min="11014" max="11014" width="27.42578125" style="295" customWidth="1"/>
    <col min="11015" max="11015" width="8.28515625" style="295" customWidth="1"/>
    <col min="11016" max="11018" width="9.140625" style="295"/>
    <col min="11019" max="11019" width="11.5703125" style="295" customWidth="1"/>
    <col min="11020" max="11020" width="12.28515625" style="295" customWidth="1"/>
    <col min="11021" max="11269" width="9.140625" style="295"/>
    <col min="11270" max="11270" width="27.42578125" style="295" customWidth="1"/>
    <col min="11271" max="11271" width="8.28515625" style="295" customWidth="1"/>
    <col min="11272" max="11274" width="9.140625" style="295"/>
    <col min="11275" max="11275" width="11.5703125" style="295" customWidth="1"/>
    <col min="11276" max="11276" width="12.28515625" style="295" customWidth="1"/>
    <col min="11277" max="11525" width="9.140625" style="295"/>
    <col min="11526" max="11526" width="27.42578125" style="295" customWidth="1"/>
    <col min="11527" max="11527" width="8.28515625" style="295" customWidth="1"/>
    <col min="11528" max="11530" width="9.140625" style="295"/>
    <col min="11531" max="11531" width="11.5703125" style="295" customWidth="1"/>
    <col min="11532" max="11532" width="12.28515625" style="295" customWidth="1"/>
    <col min="11533" max="11781" width="9.140625" style="295"/>
    <col min="11782" max="11782" width="27.42578125" style="295" customWidth="1"/>
    <col min="11783" max="11783" width="8.28515625" style="295" customWidth="1"/>
    <col min="11784" max="11786" width="9.140625" style="295"/>
    <col min="11787" max="11787" width="11.5703125" style="295" customWidth="1"/>
    <col min="11788" max="11788" width="12.28515625" style="295" customWidth="1"/>
    <col min="11789" max="12037" width="9.140625" style="295"/>
    <col min="12038" max="12038" width="27.42578125" style="295" customWidth="1"/>
    <col min="12039" max="12039" width="8.28515625" style="295" customWidth="1"/>
    <col min="12040" max="12042" width="9.140625" style="295"/>
    <col min="12043" max="12043" width="11.5703125" style="295" customWidth="1"/>
    <col min="12044" max="12044" width="12.28515625" style="295" customWidth="1"/>
    <col min="12045" max="12293" width="9.140625" style="295"/>
    <col min="12294" max="12294" width="27.42578125" style="295" customWidth="1"/>
    <col min="12295" max="12295" width="8.28515625" style="295" customWidth="1"/>
    <col min="12296" max="12298" width="9.140625" style="295"/>
    <col min="12299" max="12299" width="11.5703125" style="295" customWidth="1"/>
    <col min="12300" max="12300" width="12.28515625" style="295" customWidth="1"/>
    <col min="12301" max="12549" width="9.140625" style="295"/>
    <col min="12550" max="12550" width="27.42578125" style="295" customWidth="1"/>
    <col min="12551" max="12551" width="8.28515625" style="295" customWidth="1"/>
    <col min="12552" max="12554" width="9.140625" style="295"/>
    <col min="12555" max="12555" width="11.5703125" style="295" customWidth="1"/>
    <col min="12556" max="12556" width="12.28515625" style="295" customWidth="1"/>
    <col min="12557" max="12805" width="9.140625" style="295"/>
    <col min="12806" max="12806" width="27.42578125" style="295" customWidth="1"/>
    <col min="12807" max="12807" width="8.28515625" style="295" customWidth="1"/>
    <col min="12808" max="12810" width="9.140625" style="295"/>
    <col min="12811" max="12811" width="11.5703125" style="295" customWidth="1"/>
    <col min="12812" max="12812" width="12.28515625" style="295" customWidth="1"/>
    <col min="12813" max="13061" width="9.140625" style="295"/>
    <col min="13062" max="13062" width="27.42578125" style="295" customWidth="1"/>
    <col min="13063" max="13063" width="8.28515625" style="295" customWidth="1"/>
    <col min="13064" max="13066" width="9.140625" style="295"/>
    <col min="13067" max="13067" width="11.5703125" style="295" customWidth="1"/>
    <col min="13068" max="13068" width="12.28515625" style="295" customWidth="1"/>
    <col min="13069" max="13317" width="9.140625" style="295"/>
    <col min="13318" max="13318" width="27.42578125" style="295" customWidth="1"/>
    <col min="13319" max="13319" width="8.28515625" style="295" customWidth="1"/>
    <col min="13320" max="13322" width="9.140625" style="295"/>
    <col min="13323" max="13323" width="11.5703125" style="295" customWidth="1"/>
    <col min="13324" max="13324" width="12.28515625" style="295" customWidth="1"/>
    <col min="13325" max="13573" width="9.140625" style="295"/>
    <col min="13574" max="13574" width="27.42578125" style="295" customWidth="1"/>
    <col min="13575" max="13575" width="8.28515625" style="295" customWidth="1"/>
    <col min="13576" max="13578" width="9.140625" style="295"/>
    <col min="13579" max="13579" width="11.5703125" style="295" customWidth="1"/>
    <col min="13580" max="13580" width="12.28515625" style="295" customWidth="1"/>
    <col min="13581" max="13829" width="9.140625" style="295"/>
    <col min="13830" max="13830" width="27.42578125" style="295" customWidth="1"/>
    <col min="13831" max="13831" width="8.28515625" style="295" customWidth="1"/>
    <col min="13832" max="13834" width="9.140625" style="295"/>
    <col min="13835" max="13835" width="11.5703125" style="295" customWidth="1"/>
    <col min="13836" max="13836" width="12.28515625" style="295" customWidth="1"/>
    <col min="13837" max="14085" width="9.140625" style="295"/>
    <col min="14086" max="14086" width="27.42578125" style="295" customWidth="1"/>
    <col min="14087" max="14087" width="8.28515625" style="295" customWidth="1"/>
    <col min="14088" max="14090" width="9.140625" style="295"/>
    <col min="14091" max="14091" width="11.5703125" style="295" customWidth="1"/>
    <col min="14092" max="14092" width="12.28515625" style="295" customWidth="1"/>
    <col min="14093" max="14341" width="9.140625" style="295"/>
    <col min="14342" max="14342" width="27.42578125" style="295" customWidth="1"/>
    <col min="14343" max="14343" width="8.28515625" style="295" customWidth="1"/>
    <col min="14344" max="14346" width="9.140625" style="295"/>
    <col min="14347" max="14347" width="11.5703125" style="295" customWidth="1"/>
    <col min="14348" max="14348" width="12.28515625" style="295" customWidth="1"/>
    <col min="14349" max="14597" width="9.140625" style="295"/>
    <col min="14598" max="14598" width="27.42578125" style="295" customWidth="1"/>
    <col min="14599" max="14599" width="8.28515625" style="295" customWidth="1"/>
    <col min="14600" max="14602" width="9.140625" style="295"/>
    <col min="14603" max="14603" width="11.5703125" style="295" customWidth="1"/>
    <col min="14604" max="14604" width="12.28515625" style="295" customWidth="1"/>
    <col min="14605" max="14853" width="9.140625" style="295"/>
    <col min="14854" max="14854" width="27.42578125" style="295" customWidth="1"/>
    <col min="14855" max="14855" width="8.28515625" style="295" customWidth="1"/>
    <col min="14856" max="14858" width="9.140625" style="295"/>
    <col min="14859" max="14859" width="11.5703125" style="295" customWidth="1"/>
    <col min="14860" max="14860" width="12.28515625" style="295" customWidth="1"/>
    <col min="14861" max="15109" width="9.140625" style="295"/>
    <col min="15110" max="15110" width="27.42578125" style="295" customWidth="1"/>
    <col min="15111" max="15111" width="8.28515625" style="295" customWidth="1"/>
    <col min="15112" max="15114" width="9.140625" style="295"/>
    <col min="15115" max="15115" width="11.5703125" style="295" customWidth="1"/>
    <col min="15116" max="15116" width="12.28515625" style="295" customWidth="1"/>
    <col min="15117" max="15365" width="9.140625" style="295"/>
    <col min="15366" max="15366" width="27.42578125" style="295" customWidth="1"/>
    <col min="15367" max="15367" width="8.28515625" style="295" customWidth="1"/>
    <col min="15368" max="15370" width="9.140625" style="295"/>
    <col min="15371" max="15371" width="11.5703125" style="295" customWidth="1"/>
    <col min="15372" max="15372" width="12.28515625" style="295" customWidth="1"/>
    <col min="15373" max="15621" width="9.140625" style="295"/>
    <col min="15622" max="15622" width="27.42578125" style="295" customWidth="1"/>
    <col min="15623" max="15623" width="8.28515625" style="295" customWidth="1"/>
    <col min="15624" max="15626" width="9.140625" style="295"/>
    <col min="15627" max="15627" width="11.5703125" style="295" customWidth="1"/>
    <col min="15628" max="15628" width="12.28515625" style="295" customWidth="1"/>
    <col min="15629" max="15877" width="9.140625" style="295"/>
    <col min="15878" max="15878" width="27.42578125" style="295" customWidth="1"/>
    <col min="15879" max="15879" width="8.28515625" style="295" customWidth="1"/>
    <col min="15880" max="15882" width="9.140625" style="295"/>
    <col min="15883" max="15883" width="11.5703125" style="295" customWidth="1"/>
    <col min="15884" max="15884" width="12.28515625" style="295" customWidth="1"/>
    <col min="15885" max="16133" width="9.140625" style="295"/>
    <col min="16134" max="16134" width="27.42578125" style="295" customWidth="1"/>
    <col min="16135" max="16135" width="8.28515625" style="295" customWidth="1"/>
    <col min="16136" max="16138" width="9.140625" style="295"/>
    <col min="16139" max="16139" width="11.5703125" style="295" customWidth="1"/>
    <col min="16140" max="16140" width="12.28515625" style="295" customWidth="1"/>
    <col min="16141" max="16384" width="9.140625" style="295"/>
  </cols>
  <sheetData>
    <row r="1" spans="1:24" ht="18.75">
      <c r="A1" s="294"/>
      <c r="B1" s="490" t="s">
        <v>460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</row>
    <row r="2" spans="1:24" ht="18.75">
      <c r="A2" s="491" t="s">
        <v>542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</row>
    <row r="3" spans="1:24" ht="18.75">
      <c r="A3" s="491" t="s">
        <v>543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</row>
    <row r="4" spans="1:24" ht="76.5" customHeight="1">
      <c r="A4" s="492" t="s">
        <v>461</v>
      </c>
      <c r="B4" s="493" t="s">
        <v>462</v>
      </c>
      <c r="C4" s="493" t="s">
        <v>544</v>
      </c>
      <c r="D4" s="493" t="s">
        <v>544</v>
      </c>
      <c r="E4" s="493" t="s">
        <v>544</v>
      </c>
      <c r="F4" s="493" t="s">
        <v>544</v>
      </c>
      <c r="G4" s="498" t="s">
        <v>565</v>
      </c>
      <c r="H4" s="494" t="s">
        <v>463</v>
      </c>
      <c r="I4" s="327"/>
      <c r="J4" s="327"/>
      <c r="K4" s="327"/>
      <c r="L4" s="495" t="s">
        <v>545</v>
      </c>
    </row>
    <row r="5" spans="1:24" ht="15" customHeight="1">
      <c r="A5" s="492"/>
      <c r="B5" s="493"/>
      <c r="C5" s="493"/>
      <c r="D5" s="493"/>
      <c r="E5" s="493"/>
      <c r="F5" s="493"/>
      <c r="G5" s="498"/>
      <c r="H5" s="494"/>
      <c r="I5" s="328"/>
      <c r="J5" s="328"/>
      <c r="K5" s="328"/>
      <c r="L5" s="496"/>
    </row>
    <row r="6" spans="1:24" ht="15" customHeight="1">
      <c r="A6" s="492"/>
      <c r="B6" s="493"/>
      <c r="C6" s="493"/>
      <c r="D6" s="493"/>
      <c r="E6" s="493"/>
      <c r="F6" s="493"/>
      <c r="G6" s="498"/>
      <c r="H6" s="494"/>
      <c r="I6" s="302"/>
      <c r="J6" s="302"/>
      <c r="K6" s="302"/>
      <c r="L6" s="497"/>
    </row>
    <row r="7" spans="1:24" ht="18" customHeight="1">
      <c r="A7" s="298"/>
      <c r="B7" s="299" t="s">
        <v>546</v>
      </c>
      <c r="C7" s="300"/>
      <c r="D7" s="296"/>
      <c r="E7" s="297"/>
      <c r="F7" s="297"/>
      <c r="G7" s="335"/>
      <c r="H7" s="301"/>
      <c r="I7" s="302"/>
      <c r="J7" s="302"/>
      <c r="K7" s="302"/>
      <c r="L7" s="302"/>
      <c r="N7" s="295" t="s">
        <v>559</v>
      </c>
      <c r="O7" s="295" t="s">
        <v>560</v>
      </c>
      <c r="P7" s="295" t="s">
        <v>370</v>
      </c>
      <c r="Q7" s="295" t="s">
        <v>560</v>
      </c>
      <c r="R7" s="295" t="s">
        <v>371</v>
      </c>
      <c r="S7" s="295" t="s">
        <v>560</v>
      </c>
      <c r="T7" s="295" t="s">
        <v>85</v>
      </c>
      <c r="U7" s="295" t="s">
        <v>560</v>
      </c>
    </row>
    <row r="8" spans="1:24" ht="18" customHeight="1">
      <c r="A8" s="303">
        <v>1</v>
      </c>
      <c r="B8" s="304" t="s">
        <v>464</v>
      </c>
      <c r="C8" s="305">
        <v>1</v>
      </c>
      <c r="D8" s="296"/>
      <c r="E8" s="306">
        <v>5.5</v>
      </c>
      <c r="F8" s="307">
        <f>H22</f>
        <v>3496.2200000000003</v>
      </c>
      <c r="G8" s="307">
        <v>1</v>
      </c>
      <c r="H8" s="308">
        <f>E8*F8-1</f>
        <v>19228.210000000003</v>
      </c>
      <c r="I8" s="309"/>
      <c r="J8" s="309"/>
      <c r="K8" s="309"/>
      <c r="L8" s="309">
        <f>H8*C8</f>
        <v>19228.210000000003</v>
      </c>
      <c r="N8" s="329">
        <f>H8*G8*3</f>
        <v>57684.630000000005</v>
      </c>
      <c r="O8" s="329"/>
      <c r="P8" s="329">
        <f>H8*C8*3+N8</f>
        <v>115369.26000000001</v>
      </c>
      <c r="Q8" s="329"/>
      <c r="R8" s="329">
        <f>H8*C8*3+P8</f>
        <v>173053.89</v>
      </c>
      <c r="S8" s="329"/>
      <c r="T8" s="329">
        <f>H8*C8*3+R8</f>
        <v>230738.52000000002</v>
      </c>
      <c r="U8" s="329"/>
      <c r="W8" s="338">
        <f>H8*C8*12</f>
        <v>230738.52000000002</v>
      </c>
    </row>
    <row r="9" spans="1:24" ht="18" customHeight="1">
      <c r="A9" s="303">
        <v>2</v>
      </c>
      <c r="B9" s="304" t="s">
        <v>547</v>
      </c>
      <c r="C9" s="305">
        <v>2</v>
      </c>
      <c r="D9" s="310"/>
      <c r="E9" s="311">
        <v>-0.05</v>
      </c>
      <c r="F9" s="310"/>
      <c r="G9" s="336">
        <v>1</v>
      </c>
      <c r="H9" s="308">
        <f>H8-5%*H8</f>
        <v>18266.799500000001</v>
      </c>
      <c r="I9" s="309">
        <f>H9*0.5</f>
        <v>9133.3997500000005</v>
      </c>
      <c r="J9" s="309"/>
      <c r="K9" s="309"/>
      <c r="L9" s="309">
        <f>H9*C9</f>
        <v>36533.599000000002</v>
      </c>
      <c r="N9" s="329">
        <f t="shared" ref="N9:N27" si="0">H9*G9*3</f>
        <v>54800.398500000003</v>
      </c>
      <c r="O9" s="329">
        <f>(I9+J9+K9)*G9*3</f>
        <v>27400.199250000001</v>
      </c>
      <c r="P9" s="329">
        <f t="shared" ref="P9:P25" si="1">H9*C9*3+N9</f>
        <v>164401.1955</v>
      </c>
      <c r="Q9" s="329">
        <f t="shared" ref="Q9:Q25" si="2">(I9+J9+K9)*C9*3+O9</f>
        <v>82200.597750000001</v>
      </c>
      <c r="R9" s="329">
        <f t="shared" ref="R9:R25" si="3">H9*C9*3+P9</f>
        <v>274001.99249999999</v>
      </c>
      <c r="S9" s="329">
        <f>(I9+J9+K9)*C9*3+Q9</f>
        <v>137000.99625</v>
      </c>
      <c r="T9" s="329">
        <f t="shared" ref="T9:T26" si="4">H9*C9*3+R9</f>
        <v>383602.78950000001</v>
      </c>
      <c r="U9" s="329">
        <f>(I9+J9+K9)*C9*3+S9</f>
        <v>191801.39475000001</v>
      </c>
      <c r="W9" s="338">
        <f t="shared" ref="W9:W27" si="5">H9*C9*12</f>
        <v>438403.18800000002</v>
      </c>
      <c r="X9" s="295">
        <f>(I9+J9+K9)*C9*12</f>
        <v>219201.59400000001</v>
      </c>
    </row>
    <row r="10" spans="1:24" ht="18" customHeight="1">
      <c r="A10" s="303">
        <v>3</v>
      </c>
      <c r="B10" s="304" t="s">
        <v>548</v>
      </c>
      <c r="C10" s="312">
        <v>1</v>
      </c>
      <c r="D10" s="298">
        <v>10</v>
      </c>
      <c r="E10" s="298">
        <v>1.82</v>
      </c>
      <c r="F10" s="298">
        <v>1921</v>
      </c>
      <c r="G10" s="331"/>
      <c r="H10" s="308">
        <f>E10*F10</f>
        <v>3496.2200000000003</v>
      </c>
      <c r="I10" s="309">
        <f t="shared" ref="I10:I27" si="6">H10*0.5</f>
        <v>1748.1100000000001</v>
      </c>
      <c r="J10" s="309"/>
      <c r="K10" s="309"/>
      <c r="L10" s="309">
        <f>H10*C10</f>
        <v>3496.2200000000003</v>
      </c>
      <c r="N10" s="329">
        <f t="shared" si="0"/>
        <v>0</v>
      </c>
      <c r="O10" s="329">
        <f t="shared" ref="O10:O27" si="7">(I10+J10+K10)*G10*3</f>
        <v>0</v>
      </c>
      <c r="P10" s="339">
        <f>H10*G10*3+N10</f>
        <v>0</v>
      </c>
      <c r="Q10" s="339">
        <f>(I10+J10+K10)*G10*3+O10</f>
        <v>0</v>
      </c>
      <c r="R10" s="329">
        <f>H10*C10*3+P10</f>
        <v>10488.66</v>
      </c>
      <c r="S10" s="329">
        <f t="shared" ref="S10:S26" si="8">(I10+J10+K10)*C10*3+Q10</f>
        <v>5244.33</v>
      </c>
      <c r="T10" s="329">
        <f t="shared" si="4"/>
        <v>20977.32</v>
      </c>
      <c r="U10" s="329">
        <f t="shared" ref="U10:U26" si="9">(I10+J10+K10)*C10*3+S10</f>
        <v>10488.66</v>
      </c>
      <c r="W10" s="338">
        <f t="shared" si="5"/>
        <v>41954.64</v>
      </c>
      <c r="X10" s="295">
        <f t="shared" ref="X10:X27" si="10">(I10+J10+K10)*C10*12</f>
        <v>20977.32</v>
      </c>
    </row>
    <row r="11" spans="1:24" ht="18" customHeight="1">
      <c r="A11" s="303">
        <v>4</v>
      </c>
      <c r="B11" s="333" t="s">
        <v>549</v>
      </c>
      <c r="C11" s="312">
        <v>1</v>
      </c>
      <c r="D11" s="298">
        <v>2</v>
      </c>
      <c r="E11" s="298">
        <v>1.0900000000000001</v>
      </c>
      <c r="F11" s="298">
        <v>1921</v>
      </c>
      <c r="G11" s="331">
        <v>1</v>
      </c>
      <c r="H11" s="308">
        <f>E11*F11</f>
        <v>2093.8900000000003</v>
      </c>
      <c r="I11" s="309">
        <f t="shared" si="6"/>
        <v>1046.9450000000002</v>
      </c>
      <c r="J11" s="309">
        <v>1032</v>
      </c>
      <c r="K11" s="309">
        <v>209</v>
      </c>
      <c r="L11" s="309">
        <f>H11*C11</f>
        <v>2093.8900000000003</v>
      </c>
      <c r="N11" s="329">
        <f t="shared" si="0"/>
        <v>6281.670000000001</v>
      </c>
      <c r="O11" s="329">
        <f t="shared" si="7"/>
        <v>6863.8350000000009</v>
      </c>
      <c r="P11" s="329">
        <f t="shared" si="1"/>
        <v>12563.340000000002</v>
      </c>
      <c r="Q11" s="329">
        <f t="shared" si="2"/>
        <v>13727.670000000002</v>
      </c>
      <c r="R11" s="329">
        <f t="shared" si="3"/>
        <v>18845.010000000002</v>
      </c>
      <c r="S11" s="329">
        <f t="shared" si="8"/>
        <v>20591.505000000005</v>
      </c>
      <c r="T11" s="329">
        <f t="shared" si="4"/>
        <v>25126.680000000004</v>
      </c>
      <c r="U11" s="329">
        <f t="shared" si="9"/>
        <v>27455.340000000004</v>
      </c>
      <c r="W11" s="338">
        <f t="shared" si="5"/>
        <v>25126.680000000004</v>
      </c>
      <c r="X11" s="295">
        <f t="shared" si="10"/>
        <v>27455.340000000004</v>
      </c>
    </row>
    <row r="12" spans="1:24" ht="18" customHeight="1">
      <c r="A12" s="303"/>
      <c r="B12" s="304" t="s">
        <v>550</v>
      </c>
      <c r="C12" s="313">
        <f>SUM(C8:C11)</f>
        <v>5</v>
      </c>
      <c r="D12" s="300"/>
      <c r="E12" s="300"/>
      <c r="F12" s="298"/>
      <c r="G12" s="331"/>
      <c r="H12" s="314">
        <f>H8+H9+H10+H11</f>
        <v>43085.119500000001</v>
      </c>
      <c r="I12" s="309"/>
      <c r="J12" s="315"/>
      <c r="K12" s="315"/>
      <c r="L12" s="315">
        <f>SUM(L8:L11)</f>
        <v>61351.919000000009</v>
      </c>
      <c r="N12" s="329">
        <f t="shared" si="0"/>
        <v>0</v>
      </c>
      <c r="O12" s="329">
        <f t="shared" si="7"/>
        <v>0</v>
      </c>
      <c r="P12" s="329"/>
      <c r="Q12" s="329">
        <f t="shared" si="2"/>
        <v>0</v>
      </c>
      <c r="R12" s="329"/>
      <c r="S12" s="329"/>
      <c r="T12" s="329"/>
      <c r="U12" s="329">
        <f t="shared" si="9"/>
        <v>0</v>
      </c>
      <c r="W12" s="338"/>
    </row>
    <row r="13" spans="1:24" ht="18" customHeight="1">
      <c r="A13" s="303"/>
      <c r="B13" s="316" t="s">
        <v>465</v>
      </c>
      <c r="C13" s="305"/>
      <c r="D13" s="317"/>
      <c r="E13" s="317"/>
      <c r="F13" s="317"/>
      <c r="G13" s="332"/>
      <c r="H13" s="308"/>
      <c r="I13" s="309">
        <f t="shared" si="6"/>
        <v>0</v>
      </c>
      <c r="J13" s="309"/>
      <c r="K13" s="309"/>
      <c r="L13" s="309"/>
      <c r="N13" s="329">
        <f t="shared" si="0"/>
        <v>0</v>
      </c>
      <c r="O13" s="329">
        <f t="shared" si="7"/>
        <v>0</v>
      </c>
      <c r="P13" s="329">
        <f t="shared" si="1"/>
        <v>0</v>
      </c>
      <c r="Q13" s="329">
        <f t="shared" si="2"/>
        <v>0</v>
      </c>
      <c r="R13" s="329">
        <f t="shared" si="3"/>
        <v>0</v>
      </c>
      <c r="S13" s="329">
        <f t="shared" si="8"/>
        <v>0</v>
      </c>
      <c r="T13" s="329">
        <f t="shared" si="4"/>
        <v>0</v>
      </c>
      <c r="U13" s="329">
        <f t="shared" si="9"/>
        <v>0</v>
      </c>
      <c r="W13" s="338">
        <f t="shared" si="5"/>
        <v>0</v>
      </c>
      <c r="X13" s="295">
        <f t="shared" si="10"/>
        <v>0</v>
      </c>
    </row>
    <row r="14" spans="1:24" ht="18" customHeight="1">
      <c r="A14" s="303">
        <v>5</v>
      </c>
      <c r="B14" s="304" t="s">
        <v>551</v>
      </c>
      <c r="C14" s="305">
        <v>1</v>
      </c>
      <c r="D14" s="318"/>
      <c r="E14" s="319">
        <v>-0.2</v>
      </c>
      <c r="F14" s="317"/>
      <c r="G14" s="332">
        <v>1</v>
      </c>
      <c r="H14" s="308">
        <f>H8-20%*H8</f>
        <v>15382.568000000003</v>
      </c>
      <c r="I14" s="309">
        <f t="shared" si="6"/>
        <v>7691.2840000000015</v>
      </c>
      <c r="J14" s="309"/>
      <c r="K14" s="309"/>
      <c r="L14" s="309">
        <f>H14*C14</f>
        <v>15382.568000000003</v>
      </c>
      <c r="N14" s="329">
        <f t="shared" si="0"/>
        <v>46147.704000000012</v>
      </c>
      <c r="O14" s="329">
        <f t="shared" si="7"/>
        <v>23073.852000000006</v>
      </c>
      <c r="P14" s="329">
        <f t="shared" si="1"/>
        <v>92295.408000000025</v>
      </c>
      <c r="Q14" s="329">
        <f t="shared" si="2"/>
        <v>46147.704000000012</v>
      </c>
      <c r="R14" s="329">
        <f t="shared" si="3"/>
        <v>138443.11200000002</v>
      </c>
      <c r="S14" s="329">
        <f t="shared" si="8"/>
        <v>69221.556000000011</v>
      </c>
      <c r="T14" s="329">
        <f t="shared" si="4"/>
        <v>184590.81600000005</v>
      </c>
      <c r="U14" s="329">
        <f t="shared" si="9"/>
        <v>92295.408000000025</v>
      </c>
      <c r="W14" s="338">
        <f t="shared" si="5"/>
        <v>184590.81600000005</v>
      </c>
      <c r="X14" s="295">
        <f t="shared" si="10"/>
        <v>92295.408000000025</v>
      </c>
    </row>
    <row r="15" spans="1:24" ht="18" customHeight="1">
      <c r="A15" s="303">
        <v>6</v>
      </c>
      <c r="B15" s="304" t="s">
        <v>552</v>
      </c>
      <c r="C15" s="305">
        <v>1</v>
      </c>
      <c r="D15" s="318"/>
      <c r="E15" s="319">
        <v>-0.05</v>
      </c>
      <c r="F15" s="317"/>
      <c r="G15" s="332">
        <v>1</v>
      </c>
      <c r="H15" s="308">
        <f>H14-5%*H14</f>
        <v>14613.439600000003</v>
      </c>
      <c r="I15" s="309">
        <f t="shared" si="6"/>
        <v>7306.7198000000017</v>
      </c>
      <c r="J15" s="309"/>
      <c r="K15" s="309"/>
      <c r="L15" s="309">
        <f>H15*C15</f>
        <v>14613.439600000003</v>
      </c>
      <c r="N15" s="329">
        <f t="shared" si="0"/>
        <v>43840.318800000008</v>
      </c>
      <c r="O15" s="329">
        <f t="shared" si="7"/>
        <v>21920.159400000004</v>
      </c>
      <c r="P15" s="329">
        <f t="shared" si="1"/>
        <v>87680.637600000016</v>
      </c>
      <c r="Q15" s="329">
        <f t="shared" si="2"/>
        <v>43840.318800000008</v>
      </c>
      <c r="R15" s="329">
        <f t="shared" si="3"/>
        <v>131520.95640000002</v>
      </c>
      <c r="S15" s="329">
        <f t="shared" si="8"/>
        <v>65760.478200000012</v>
      </c>
      <c r="T15" s="329">
        <f t="shared" si="4"/>
        <v>175361.27520000003</v>
      </c>
      <c r="U15" s="329">
        <f t="shared" si="9"/>
        <v>87680.637600000016</v>
      </c>
      <c r="W15" s="338">
        <f t="shared" si="5"/>
        <v>175361.27520000003</v>
      </c>
      <c r="X15" s="295">
        <f t="shared" si="10"/>
        <v>87680.637600000016</v>
      </c>
    </row>
    <row r="16" spans="1:24" ht="18" customHeight="1">
      <c r="A16" s="303">
        <v>7</v>
      </c>
      <c r="B16" s="304" t="s">
        <v>553</v>
      </c>
      <c r="C16" s="305">
        <v>1</v>
      </c>
      <c r="D16" s="317">
        <v>10</v>
      </c>
      <c r="E16" s="317">
        <v>1.82</v>
      </c>
      <c r="F16" s="298">
        <v>1921</v>
      </c>
      <c r="G16" s="331"/>
      <c r="H16" s="308">
        <f>E16*F16</f>
        <v>3496.2200000000003</v>
      </c>
      <c r="I16" s="309">
        <f t="shared" si="6"/>
        <v>1748.1100000000001</v>
      </c>
      <c r="J16" s="309"/>
      <c r="K16" s="309"/>
      <c r="L16" s="309">
        <f>H16*C16</f>
        <v>3496.2200000000003</v>
      </c>
      <c r="N16" s="329">
        <f t="shared" si="0"/>
        <v>0</v>
      </c>
      <c r="O16" s="329">
        <f t="shared" si="7"/>
        <v>0</v>
      </c>
      <c r="P16" s="329">
        <f t="shared" si="1"/>
        <v>10488.66</v>
      </c>
      <c r="Q16" s="329">
        <f t="shared" si="2"/>
        <v>5244.33</v>
      </c>
      <c r="R16" s="329">
        <f t="shared" si="3"/>
        <v>20977.32</v>
      </c>
      <c r="S16" s="329">
        <f t="shared" si="8"/>
        <v>10488.66</v>
      </c>
      <c r="T16" s="329">
        <f t="shared" si="4"/>
        <v>31465.98</v>
      </c>
      <c r="U16" s="329">
        <f t="shared" si="9"/>
        <v>15732.99</v>
      </c>
      <c r="W16" s="338">
        <f t="shared" si="5"/>
        <v>41954.64</v>
      </c>
      <c r="X16" s="295">
        <f t="shared" si="10"/>
        <v>20977.32</v>
      </c>
    </row>
    <row r="17" spans="1:24" ht="18" customHeight="1">
      <c r="A17" s="303">
        <v>7</v>
      </c>
      <c r="B17" s="304" t="s">
        <v>554</v>
      </c>
      <c r="C17" s="305">
        <v>1</v>
      </c>
      <c r="D17" s="317">
        <v>10</v>
      </c>
      <c r="E17" s="317">
        <v>1.82</v>
      </c>
      <c r="F17" s="298">
        <v>1921</v>
      </c>
      <c r="G17" s="331"/>
      <c r="H17" s="308">
        <f>E17*F17</f>
        <v>3496.2200000000003</v>
      </c>
      <c r="I17" s="309">
        <f t="shared" si="6"/>
        <v>1748.1100000000001</v>
      </c>
      <c r="J17" s="309"/>
      <c r="K17" s="309"/>
      <c r="L17" s="309">
        <f>H17*C17</f>
        <v>3496.2200000000003</v>
      </c>
      <c r="N17" s="329">
        <f t="shared" si="0"/>
        <v>0</v>
      </c>
      <c r="O17" s="329">
        <f t="shared" si="7"/>
        <v>0</v>
      </c>
      <c r="P17" s="329">
        <f t="shared" si="1"/>
        <v>10488.66</v>
      </c>
      <c r="Q17" s="329">
        <f t="shared" si="2"/>
        <v>5244.33</v>
      </c>
      <c r="R17" s="329">
        <f t="shared" si="3"/>
        <v>20977.32</v>
      </c>
      <c r="S17" s="329">
        <f t="shared" si="8"/>
        <v>10488.66</v>
      </c>
      <c r="T17" s="329">
        <f t="shared" si="4"/>
        <v>31465.98</v>
      </c>
      <c r="U17" s="329">
        <f t="shared" si="9"/>
        <v>15732.99</v>
      </c>
      <c r="W17" s="338">
        <f t="shared" si="5"/>
        <v>41954.64</v>
      </c>
      <c r="X17" s="295">
        <f t="shared" si="10"/>
        <v>20977.32</v>
      </c>
    </row>
    <row r="18" spans="1:24" ht="18" customHeight="1">
      <c r="A18" s="303"/>
      <c r="B18" s="304" t="s">
        <v>550</v>
      </c>
      <c r="C18" s="320">
        <f>SUM(C14:C17)</f>
        <v>4</v>
      </c>
      <c r="D18" s="317"/>
      <c r="E18" s="317"/>
      <c r="F18" s="298"/>
      <c r="G18" s="331"/>
      <c r="H18" s="314">
        <f>H15+H16+H17*C17+H14</f>
        <v>36988.447600000007</v>
      </c>
      <c r="I18" s="309"/>
      <c r="J18" s="314"/>
      <c r="K18" s="314"/>
      <c r="L18" s="314">
        <f>SUM(L14:L17)</f>
        <v>36988.447600000007</v>
      </c>
      <c r="N18" s="329">
        <f t="shared" si="0"/>
        <v>0</v>
      </c>
      <c r="O18" s="329">
        <f t="shared" si="7"/>
        <v>0</v>
      </c>
      <c r="P18" s="329"/>
      <c r="Q18" s="329">
        <f t="shared" si="2"/>
        <v>0</v>
      </c>
      <c r="R18" s="329"/>
      <c r="S18" s="329"/>
      <c r="T18" s="329"/>
      <c r="U18" s="329">
        <f t="shared" si="9"/>
        <v>0</v>
      </c>
      <c r="W18" s="338"/>
    </row>
    <row r="19" spans="1:24" ht="18" customHeight="1">
      <c r="A19" s="303"/>
      <c r="B19" s="316" t="s">
        <v>466</v>
      </c>
      <c r="C19" s="305"/>
      <c r="D19" s="317"/>
      <c r="E19" s="317"/>
      <c r="F19" s="317"/>
      <c r="G19" s="332"/>
      <c r="H19" s="308"/>
      <c r="I19" s="309">
        <f t="shared" si="6"/>
        <v>0</v>
      </c>
      <c r="J19" s="309"/>
      <c r="K19" s="309"/>
      <c r="L19" s="309"/>
      <c r="N19" s="329">
        <f t="shared" si="0"/>
        <v>0</v>
      </c>
      <c r="O19" s="329">
        <f t="shared" si="7"/>
        <v>0</v>
      </c>
      <c r="P19" s="329">
        <f t="shared" si="1"/>
        <v>0</v>
      </c>
      <c r="Q19" s="329">
        <f t="shared" si="2"/>
        <v>0</v>
      </c>
      <c r="R19" s="329">
        <f t="shared" si="3"/>
        <v>0</v>
      </c>
      <c r="S19" s="329">
        <f t="shared" si="8"/>
        <v>0</v>
      </c>
      <c r="T19" s="329">
        <f t="shared" si="4"/>
        <v>0</v>
      </c>
      <c r="U19" s="329">
        <f t="shared" si="9"/>
        <v>0</v>
      </c>
      <c r="W19" s="338">
        <f t="shared" si="5"/>
        <v>0</v>
      </c>
      <c r="X19" s="295">
        <f t="shared" si="10"/>
        <v>0</v>
      </c>
    </row>
    <row r="20" spans="1:24" ht="18" customHeight="1">
      <c r="A20" s="303">
        <v>5</v>
      </c>
      <c r="B20" s="304" t="s">
        <v>555</v>
      </c>
      <c r="C20" s="305">
        <v>1</v>
      </c>
      <c r="D20" s="318"/>
      <c r="E20" s="319">
        <v>-0.05</v>
      </c>
      <c r="F20" s="317"/>
      <c r="G20" s="332">
        <v>1</v>
      </c>
      <c r="H20" s="308">
        <f>H9-5%*H9</f>
        <v>17353.459525000002</v>
      </c>
      <c r="I20" s="309">
        <f t="shared" si="6"/>
        <v>8676.729762500001</v>
      </c>
      <c r="J20" s="309"/>
      <c r="K20" s="309"/>
      <c r="L20" s="309">
        <f>H20*C20</f>
        <v>17353.459525000002</v>
      </c>
      <c r="N20" s="329">
        <f t="shared" si="0"/>
        <v>52060.37857500001</v>
      </c>
      <c r="O20" s="329">
        <f t="shared" si="7"/>
        <v>26030.189287500005</v>
      </c>
      <c r="P20" s="329">
        <f t="shared" si="1"/>
        <v>104120.75715000002</v>
      </c>
      <c r="Q20" s="329">
        <f t="shared" si="2"/>
        <v>52060.37857500001</v>
      </c>
      <c r="R20" s="329">
        <f t="shared" si="3"/>
        <v>156181.13572500003</v>
      </c>
      <c r="S20" s="329">
        <f t="shared" si="8"/>
        <v>78090.567862500015</v>
      </c>
      <c r="T20" s="329">
        <f t="shared" si="4"/>
        <v>208241.51430000004</v>
      </c>
      <c r="U20" s="329">
        <f t="shared" si="9"/>
        <v>104120.75715000002</v>
      </c>
      <c r="W20" s="338">
        <f t="shared" si="5"/>
        <v>208241.51430000004</v>
      </c>
      <c r="X20" s="295">
        <f t="shared" si="10"/>
        <v>104120.75715000002</v>
      </c>
    </row>
    <row r="21" spans="1:24" ht="18" customHeight="1">
      <c r="A21" s="303">
        <v>6</v>
      </c>
      <c r="B21" s="304" t="s">
        <v>467</v>
      </c>
      <c r="C21" s="305">
        <v>1</v>
      </c>
      <c r="D21" s="318"/>
      <c r="E21" s="319">
        <v>-0.05</v>
      </c>
      <c r="F21" s="317"/>
      <c r="G21" s="332"/>
      <c r="H21" s="308">
        <f>H20-5%*H20</f>
        <v>16485.786548750002</v>
      </c>
      <c r="I21" s="309">
        <f t="shared" si="6"/>
        <v>8242.8932743750011</v>
      </c>
      <c r="J21" s="309"/>
      <c r="K21" s="309"/>
      <c r="L21" s="309">
        <f>H21*C21</f>
        <v>16485.786548750002</v>
      </c>
      <c r="N21" s="329">
        <f t="shared" si="0"/>
        <v>0</v>
      </c>
      <c r="O21" s="329">
        <f t="shared" si="7"/>
        <v>0</v>
      </c>
      <c r="P21" s="329">
        <f t="shared" si="1"/>
        <v>49457.359646250006</v>
      </c>
      <c r="Q21" s="329">
        <f t="shared" si="2"/>
        <v>24728.679823125003</v>
      </c>
      <c r="R21" s="329">
        <f t="shared" si="3"/>
        <v>98914.719292500013</v>
      </c>
      <c r="S21" s="329">
        <f t="shared" si="8"/>
        <v>49457.359646250006</v>
      </c>
      <c r="T21" s="329">
        <f t="shared" si="4"/>
        <v>148372.07893875003</v>
      </c>
      <c r="U21" s="329">
        <f t="shared" si="9"/>
        <v>74186.039469375013</v>
      </c>
      <c r="W21" s="338">
        <f t="shared" si="5"/>
        <v>197829.43858500003</v>
      </c>
      <c r="X21" s="295">
        <f t="shared" si="10"/>
        <v>98914.719292500013</v>
      </c>
    </row>
    <row r="22" spans="1:24" ht="18" customHeight="1">
      <c r="A22" s="303">
        <v>7</v>
      </c>
      <c r="B22" s="304" t="s">
        <v>468</v>
      </c>
      <c r="C22" s="305">
        <v>5</v>
      </c>
      <c r="D22" s="317">
        <v>10</v>
      </c>
      <c r="E22" s="317">
        <v>1.82</v>
      </c>
      <c r="F22" s="298">
        <v>1921</v>
      </c>
      <c r="G22" s="331">
        <v>2</v>
      </c>
      <c r="H22" s="308">
        <f>E22*F22</f>
        <v>3496.2200000000003</v>
      </c>
      <c r="I22" s="309">
        <f t="shared" si="6"/>
        <v>1748.1100000000001</v>
      </c>
      <c r="J22" s="309"/>
      <c r="K22" s="309"/>
      <c r="L22" s="309">
        <f>H22*C22</f>
        <v>17481.100000000002</v>
      </c>
      <c r="N22" s="329">
        <f t="shared" si="0"/>
        <v>20977.32</v>
      </c>
      <c r="O22" s="329">
        <f>(I22+J22+K22)*G22*3</f>
        <v>10488.66</v>
      </c>
      <c r="P22" s="329">
        <f t="shared" si="1"/>
        <v>73420.62</v>
      </c>
      <c r="Q22" s="329">
        <f t="shared" si="2"/>
        <v>36710.31</v>
      </c>
      <c r="R22" s="329">
        <f t="shared" si="3"/>
        <v>125863.92</v>
      </c>
      <c r="S22" s="329">
        <f t="shared" si="8"/>
        <v>62931.96</v>
      </c>
      <c r="T22" s="329">
        <f t="shared" si="4"/>
        <v>178307.22</v>
      </c>
      <c r="U22" s="329">
        <f t="shared" si="9"/>
        <v>89153.61</v>
      </c>
      <c r="W22" s="338">
        <f t="shared" si="5"/>
        <v>209773.2</v>
      </c>
      <c r="X22" s="295">
        <f t="shared" si="10"/>
        <v>104886.6</v>
      </c>
    </row>
    <row r="23" spans="1:24" ht="18" customHeight="1">
      <c r="A23" s="303"/>
      <c r="B23" s="304" t="s">
        <v>550</v>
      </c>
      <c r="C23" s="320">
        <f>SUM(C20:C22)</f>
        <v>7</v>
      </c>
      <c r="D23" s="317"/>
      <c r="E23" s="317"/>
      <c r="F23" s="298"/>
      <c r="G23" s="331"/>
      <c r="H23" s="314">
        <f>H20+H21+H22</f>
        <v>37335.466073750009</v>
      </c>
      <c r="I23" s="309"/>
      <c r="J23" s="315"/>
      <c r="K23" s="315"/>
      <c r="L23" s="315">
        <f>SUM(L20:L22)</f>
        <v>51320.346073750014</v>
      </c>
      <c r="N23" s="329">
        <f t="shared" si="0"/>
        <v>0</v>
      </c>
      <c r="O23" s="329">
        <f t="shared" si="7"/>
        <v>0</v>
      </c>
      <c r="P23" s="329"/>
      <c r="Q23" s="329">
        <f t="shared" si="2"/>
        <v>0</v>
      </c>
      <c r="R23" s="329"/>
      <c r="S23" s="329"/>
      <c r="T23" s="329"/>
      <c r="U23" s="329">
        <f t="shared" si="9"/>
        <v>0</v>
      </c>
      <c r="W23" s="338"/>
    </row>
    <row r="24" spans="1:24" ht="18" customHeight="1">
      <c r="A24" s="303"/>
      <c r="B24" s="316" t="s">
        <v>556</v>
      </c>
      <c r="C24" s="305"/>
      <c r="D24" s="317"/>
      <c r="E24" s="317"/>
      <c r="F24" s="317"/>
      <c r="G24" s="332"/>
      <c r="H24" s="308"/>
      <c r="I24" s="309">
        <f t="shared" si="6"/>
        <v>0</v>
      </c>
      <c r="J24" s="309"/>
      <c r="K24" s="309"/>
      <c r="L24" s="309"/>
      <c r="N24" s="329">
        <f t="shared" si="0"/>
        <v>0</v>
      </c>
      <c r="O24" s="329">
        <f t="shared" si="7"/>
        <v>0</v>
      </c>
      <c r="P24" s="329">
        <f t="shared" si="1"/>
        <v>0</v>
      </c>
      <c r="Q24" s="329">
        <f t="shared" si="2"/>
        <v>0</v>
      </c>
      <c r="R24" s="329">
        <f t="shared" si="3"/>
        <v>0</v>
      </c>
      <c r="S24" s="329"/>
      <c r="T24" s="329"/>
      <c r="U24" s="329">
        <f t="shared" si="9"/>
        <v>0</v>
      </c>
      <c r="W24" s="338">
        <f t="shared" si="5"/>
        <v>0</v>
      </c>
      <c r="X24" s="295">
        <f t="shared" si="10"/>
        <v>0</v>
      </c>
    </row>
    <row r="25" spans="1:24" ht="18" customHeight="1">
      <c r="A25" s="303">
        <v>5</v>
      </c>
      <c r="B25" s="304" t="s">
        <v>555</v>
      </c>
      <c r="C25" s="305">
        <v>1</v>
      </c>
      <c r="D25" s="318"/>
      <c r="E25" s="319">
        <v>-0.05</v>
      </c>
      <c r="F25" s="317"/>
      <c r="G25" s="332">
        <v>1</v>
      </c>
      <c r="H25" s="308">
        <v>17354</v>
      </c>
      <c r="I25" s="309"/>
      <c r="J25" s="309"/>
      <c r="K25" s="309"/>
      <c r="L25" s="309">
        <f>H25*C25</f>
        <v>17354</v>
      </c>
      <c r="N25" s="329">
        <f t="shared" si="0"/>
        <v>52062</v>
      </c>
      <c r="O25" s="329">
        <f t="shared" si="7"/>
        <v>0</v>
      </c>
      <c r="P25" s="329">
        <f t="shared" si="1"/>
        <v>104124</v>
      </c>
      <c r="Q25" s="329">
        <f t="shared" si="2"/>
        <v>0</v>
      </c>
      <c r="R25" s="329">
        <f t="shared" si="3"/>
        <v>156186</v>
      </c>
      <c r="S25" s="329">
        <f t="shared" si="8"/>
        <v>0</v>
      </c>
      <c r="T25" s="329">
        <f t="shared" si="4"/>
        <v>208248</v>
      </c>
      <c r="U25" s="329">
        <f t="shared" si="9"/>
        <v>0</v>
      </c>
      <c r="W25" s="338">
        <f t="shared" si="5"/>
        <v>208248</v>
      </c>
      <c r="X25" s="295">
        <f t="shared" si="10"/>
        <v>0</v>
      </c>
    </row>
    <row r="26" spans="1:24" ht="18" customHeight="1">
      <c r="A26" s="303">
        <v>6</v>
      </c>
      <c r="B26" s="304" t="s">
        <v>467</v>
      </c>
      <c r="C26" s="305">
        <v>2</v>
      </c>
      <c r="D26" s="318"/>
      <c r="E26" s="319">
        <v>-0.05</v>
      </c>
      <c r="F26" s="317"/>
      <c r="G26" s="332">
        <v>1</v>
      </c>
      <c r="H26" s="308">
        <f>H25-5%*H25</f>
        <v>16486.3</v>
      </c>
      <c r="I26" s="309"/>
      <c r="J26" s="309"/>
      <c r="K26" s="309"/>
      <c r="L26" s="309">
        <f>H26*C26</f>
        <v>32972.6</v>
      </c>
      <c r="N26" s="329">
        <f t="shared" si="0"/>
        <v>49458.899999999994</v>
      </c>
      <c r="O26" s="329">
        <f t="shared" si="7"/>
        <v>0</v>
      </c>
      <c r="P26" s="339">
        <f>H26*G26*3+N26</f>
        <v>98917.799999999988</v>
      </c>
      <c r="Q26" s="339">
        <f>(I26+J26+K26)*G26*3+O26</f>
        <v>0</v>
      </c>
      <c r="R26" s="329">
        <f>H26*C26*3+P26</f>
        <v>197835.59999999998</v>
      </c>
      <c r="S26" s="329">
        <f t="shared" si="8"/>
        <v>0</v>
      </c>
      <c r="T26" s="329">
        <f t="shared" si="4"/>
        <v>296753.39999999997</v>
      </c>
      <c r="U26" s="329">
        <f t="shared" si="9"/>
        <v>0</v>
      </c>
      <c r="W26" s="338">
        <f t="shared" si="5"/>
        <v>395671.19999999995</v>
      </c>
      <c r="X26" s="295">
        <f t="shared" si="10"/>
        <v>0</v>
      </c>
    </row>
    <row r="27" spans="1:24" ht="18" customHeight="1">
      <c r="A27" s="303">
        <v>7</v>
      </c>
      <c r="B27" s="333" t="s">
        <v>557</v>
      </c>
      <c r="C27" s="305">
        <v>17</v>
      </c>
      <c r="D27" s="317">
        <v>10</v>
      </c>
      <c r="E27" s="317">
        <v>1.82</v>
      </c>
      <c r="F27" s="298">
        <v>1921</v>
      </c>
      <c r="G27" s="331"/>
      <c r="H27" s="308">
        <f>E27*F27</f>
        <v>3496.2200000000003</v>
      </c>
      <c r="I27" s="309">
        <f t="shared" si="6"/>
        <v>1748.1100000000001</v>
      </c>
      <c r="J27" s="309"/>
      <c r="K27" s="309"/>
      <c r="L27" s="309">
        <f>H27*C27</f>
        <v>59435.740000000005</v>
      </c>
      <c r="N27" s="329">
        <f t="shared" si="0"/>
        <v>0</v>
      </c>
      <c r="O27" s="329">
        <f t="shared" si="7"/>
        <v>0</v>
      </c>
      <c r="P27" s="339">
        <f>H27*C27*2+N27</f>
        <v>118871.48000000001</v>
      </c>
      <c r="Q27" s="339">
        <f>(I27+J27+K27)*C27*2+O27</f>
        <v>59435.740000000005</v>
      </c>
      <c r="R27" s="329">
        <f>H27*C27*3+P27</f>
        <v>297178.70000000007</v>
      </c>
      <c r="S27" s="329">
        <f>(I27+J27+K27)*C27*3+Q27</f>
        <v>148589.35000000003</v>
      </c>
      <c r="T27" s="329">
        <f>H27*C27*3+R27</f>
        <v>475485.9200000001</v>
      </c>
      <c r="U27" s="329">
        <f>(I27+J27+K27)*C27*3+S27</f>
        <v>237742.96000000005</v>
      </c>
      <c r="W27" s="338">
        <f t="shared" si="5"/>
        <v>713228.88000000012</v>
      </c>
      <c r="X27" s="295">
        <f t="shared" si="10"/>
        <v>356614.44000000006</v>
      </c>
    </row>
    <row r="28" spans="1:24" ht="18" customHeight="1">
      <c r="A28" s="303"/>
      <c r="B28" s="304" t="s">
        <v>550</v>
      </c>
      <c r="C28" s="320">
        <f>SUM(C25:C27)</f>
        <v>20</v>
      </c>
      <c r="D28" s="317"/>
      <c r="E28" s="317"/>
      <c r="F28" s="298"/>
      <c r="G28" s="331"/>
      <c r="H28" s="314">
        <f>SUM(H25:H27)</f>
        <v>37336.520000000004</v>
      </c>
      <c r="I28" s="315"/>
      <c r="J28" s="315"/>
      <c r="K28" s="315"/>
      <c r="L28" s="315">
        <f>SUM(L25:L27)</f>
        <v>109762.34</v>
      </c>
      <c r="P28" s="329"/>
    </row>
    <row r="29" spans="1:24" ht="18" customHeight="1">
      <c r="A29" s="303"/>
      <c r="B29" s="304" t="s">
        <v>469</v>
      </c>
      <c r="C29" s="321">
        <f>C12+C18+C23+C28</f>
        <v>36</v>
      </c>
      <c r="D29" s="317"/>
      <c r="E29" s="317"/>
      <c r="F29" s="298"/>
      <c r="G29" s="337">
        <f>SUM(G8:G28)</f>
        <v>10</v>
      </c>
      <c r="H29" s="314"/>
      <c r="I29" s="315"/>
      <c r="J29" s="315"/>
      <c r="K29" s="315"/>
      <c r="L29" s="309"/>
    </row>
    <row r="30" spans="1:24" ht="18" customHeight="1">
      <c r="A30" s="303"/>
      <c r="B30" s="322" t="s">
        <v>558</v>
      </c>
      <c r="C30" s="323"/>
      <c r="D30" s="324"/>
      <c r="E30" s="324"/>
      <c r="F30" s="325"/>
      <c r="G30" s="325"/>
      <c r="H30" s="326">
        <f>H12+H23+H18+H28</f>
        <v>154745.55317375</v>
      </c>
      <c r="I30" s="326"/>
      <c r="J30" s="326"/>
      <c r="K30" s="326"/>
      <c r="L30" s="326">
        <f>L12+L23+L18+L28</f>
        <v>259423.05267375003</v>
      </c>
    </row>
    <row r="31" spans="1:24">
      <c r="N31" s="295" t="s">
        <v>559</v>
      </c>
      <c r="O31" s="295" t="s">
        <v>370</v>
      </c>
      <c r="P31" s="295" t="s">
        <v>371</v>
      </c>
      <c r="Q31" s="295" t="s">
        <v>85</v>
      </c>
    </row>
    <row r="32" spans="1:24">
      <c r="M32" s="295" t="s">
        <v>561</v>
      </c>
      <c r="N32" s="329">
        <f>SUM(N20:O27)</f>
        <v>211077.4478625</v>
      </c>
      <c r="O32" s="329">
        <f>SUM(P20:Q27)</f>
        <v>721847.12519437494</v>
      </c>
      <c r="P32" s="329">
        <f>SUM(R20:S27)</f>
        <v>1371229.3125262503</v>
      </c>
      <c r="Q32" s="329">
        <f>SUM(T20:U27)</f>
        <v>2020611.4998581251</v>
      </c>
    </row>
    <row r="33" spans="13:17">
      <c r="M33" s="295" t="s">
        <v>474</v>
      </c>
      <c r="N33" s="329">
        <f>(N32-N41)*22%+N41*8.41%</f>
        <v>46437.038529750003</v>
      </c>
      <c r="O33" s="329">
        <f t="shared" ref="O33:P33" si="11">(O32-O41)*22%+O41*8.41%</f>
        <v>157380.95864876246</v>
      </c>
      <c r="P33" s="329">
        <f t="shared" si="11"/>
        <v>298106.92652077507</v>
      </c>
      <c r="Q33" s="329">
        <f>(Q32-Q41)*22%+Q41*8.41%</f>
        <v>438832.8943927876</v>
      </c>
    </row>
    <row r="34" spans="13:17">
      <c r="N34" s="329"/>
      <c r="O34" s="329"/>
      <c r="P34" s="329"/>
      <c r="Q34" s="329"/>
    </row>
    <row r="35" spans="13:17">
      <c r="M35" s="295" t="s">
        <v>562</v>
      </c>
      <c r="N35" s="329">
        <f>SUM(N8:O17)</f>
        <v>288012.76695000008</v>
      </c>
      <c r="O35" s="329">
        <f>SUM(P8:Q17)</f>
        <v>689692.11165000009</v>
      </c>
      <c r="P35" s="329">
        <f>SUM(R8:S17)</f>
        <v>1107104.4463499999</v>
      </c>
      <c r="Q35" s="329">
        <f>SUM(T8:U17)</f>
        <v>1524516.7810500001</v>
      </c>
    </row>
    <row r="36" spans="13:17">
      <c r="M36" s="295" t="s">
        <v>474</v>
      </c>
      <c r="N36" s="329">
        <f>(N35-N42)*22%+N42*8.41%</f>
        <v>61576.334599500013</v>
      </c>
      <c r="O36" s="329">
        <f t="shared" ref="O36:P36" si="12">(O35-O42)*22%+O42*8.41%</f>
        <v>148159.31630400004</v>
      </c>
      <c r="P36" s="329">
        <f t="shared" si="12"/>
        <v>238203.55580850001</v>
      </c>
      <c r="Q36" s="329">
        <f>(Q35-Q42)*22%+Q42*8.41%</f>
        <v>328247.79531300004</v>
      </c>
    </row>
    <row r="37" spans="13:17">
      <c r="N37" s="329"/>
      <c r="O37" s="329"/>
      <c r="P37" s="329"/>
      <c r="Q37" s="329"/>
    </row>
    <row r="38" spans="13:17">
      <c r="M38" s="295" t="s">
        <v>473</v>
      </c>
      <c r="N38" s="329">
        <f>N32+N35</f>
        <v>499090.21481250005</v>
      </c>
      <c r="O38" s="329">
        <f t="shared" ref="O38:P38" si="13">O32+O35</f>
        <v>1411539.236844375</v>
      </c>
      <c r="P38" s="329">
        <f t="shared" si="13"/>
        <v>2478333.7588762501</v>
      </c>
      <c r="Q38" s="329">
        <f>Q32+Q35</f>
        <v>3545128.2809081255</v>
      </c>
    </row>
    <row r="39" spans="13:17">
      <c r="M39" s="295" t="s">
        <v>474</v>
      </c>
      <c r="N39" s="329">
        <f>N33+N36</f>
        <v>108013.37312925002</v>
      </c>
      <c r="O39" s="329">
        <f t="shared" ref="O39:P39" si="14">O33+O36</f>
        <v>305540.27495276253</v>
      </c>
      <c r="P39" s="329">
        <f t="shared" si="14"/>
        <v>536310.48232927511</v>
      </c>
      <c r="Q39" s="329">
        <f>Q33+Q36</f>
        <v>767080.68970578769</v>
      </c>
    </row>
    <row r="41" spans="13:17">
      <c r="M41" s="295" t="s">
        <v>563</v>
      </c>
      <c r="N41" s="340"/>
      <c r="O41" s="340">
        <f>SUM($H$27:$I$27)*2</f>
        <v>10488.66</v>
      </c>
      <c r="P41" s="340">
        <f>SUM($H$27:$I$27)*5</f>
        <v>26221.65</v>
      </c>
      <c r="Q41" s="340">
        <f>SUM($H$27:$I$27)*8</f>
        <v>41954.64</v>
      </c>
    </row>
    <row r="42" spans="13:17">
      <c r="M42" s="295" t="s">
        <v>564</v>
      </c>
      <c r="N42" s="341">
        <f>N11+O11</f>
        <v>13145.505000000001</v>
      </c>
      <c r="O42" s="341">
        <f>P11+Q11</f>
        <v>26291.010000000002</v>
      </c>
      <c r="P42" s="341">
        <f>R11+S11</f>
        <v>39436.515000000007</v>
      </c>
      <c r="Q42" s="341">
        <f>T11+U11</f>
        <v>52582.020000000004</v>
      </c>
    </row>
    <row r="44" spans="13:17">
      <c r="M44" t="s">
        <v>475</v>
      </c>
    </row>
    <row r="45" spans="13:17">
      <c r="M45"/>
    </row>
    <row r="46" spans="13:17">
      <c r="M46" t="s">
        <v>476</v>
      </c>
    </row>
    <row r="47" spans="13:17">
      <c r="M47" t="s">
        <v>269</v>
      </c>
      <c r="N47" s="329">
        <f>T8</f>
        <v>230738.52000000002</v>
      </c>
    </row>
    <row r="48" spans="13:17">
      <c r="M48" t="s">
        <v>477</v>
      </c>
      <c r="N48" s="329">
        <f>Q35-N47</f>
        <v>1293778.2610500001</v>
      </c>
    </row>
    <row r="49" spans="12:14">
      <c r="M49" t="s">
        <v>270</v>
      </c>
      <c r="N49" s="329">
        <f>Q32</f>
        <v>2020611.4998581251</v>
      </c>
    </row>
    <row r="50" spans="12:14">
      <c r="M50"/>
      <c r="N50" s="329"/>
    </row>
    <row r="51" spans="12:14">
      <c r="M51" t="s">
        <v>42</v>
      </c>
      <c r="N51" s="329"/>
    </row>
    <row r="52" spans="12:14">
      <c r="M52" t="s">
        <v>269</v>
      </c>
      <c r="N52" s="329">
        <f>N47*1.22</f>
        <v>281500.99440000003</v>
      </c>
    </row>
    <row r="53" spans="12:14">
      <c r="M53" t="s">
        <v>477</v>
      </c>
      <c r="N53" s="329">
        <f>Q35+Q36-N52</f>
        <v>1571263.5819630001</v>
      </c>
    </row>
    <row r="54" spans="12:14">
      <c r="M54" t="s">
        <v>270</v>
      </c>
      <c r="N54" s="329">
        <f>Q32+Q33</f>
        <v>2459444.3942509126</v>
      </c>
    </row>
    <row r="55" spans="12:14">
      <c r="M55"/>
      <c r="N55" s="329"/>
    </row>
    <row r="56" spans="12:14">
      <c r="M56" t="s">
        <v>478</v>
      </c>
      <c r="N56" s="329"/>
    </row>
    <row r="57" spans="12:14">
      <c r="L57" s="295">
        <v>1</v>
      </c>
      <c r="M57" t="s">
        <v>269</v>
      </c>
      <c r="N57" s="329">
        <f>H8</f>
        <v>19228.210000000003</v>
      </c>
    </row>
    <row r="58" spans="12:14">
      <c r="L58" s="295">
        <v>8</v>
      </c>
      <c r="M58" t="s">
        <v>477</v>
      </c>
      <c r="N58" s="329">
        <f>SUM(W9:W17)/12/8</f>
        <v>9889.0195750000003</v>
      </c>
    </row>
    <row r="59" spans="12:14">
      <c r="L59" s="295">
        <v>27</v>
      </c>
      <c r="M59" t="s">
        <v>270</v>
      </c>
      <c r="N59" s="329">
        <f>SUM(W20:W27)/12/27</f>
        <v>5966.0254101388891</v>
      </c>
    </row>
    <row r="60" spans="12:14">
      <c r="M60"/>
      <c r="N60" s="329"/>
    </row>
    <row r="61" spans="12:14">
      <c r="M61" t="s">
        <v>479</v>
      </c>
      <c r="N61" s="329"/>
    </row>
    <row r="62" spans="12:14">
      <c r="M62" t="s">
        <v>269</v>
      </c>
      <c r="N62" s="329">
        <f>N57</f>
        <v>19228.210000000003</v>
      </c>
    </row>
    <row r="63" spans="12:14">
      <c r="M63" t="s">
        <v>477</v>
      </c>
      <c r="N63" s="329">
        <f>SUM(W9:X17)/12/8</f>
        <v>14988.654362499999</v>
      </c>
    </row>
    <row r="64" spans="12:14">
      <c r="M64" t="s">
        <v>270</v>
      </c>
      <c r="N64" s="329">
        <f>SUM(W20:X27)/12/27</f>
        <v>8017.0640411342602</v>
      </c>
    </row>
  </sheetData>
  <mergeCells count="12">
    <mergeCell ref="B1:L1"/>
    <mergeCell ref="A2:L2"/>
    <mergeCell ref="A3:L3"/>
    <mergeCell ref="A4:A6"/>
    <mergeCell ref="B4:B6"/>
    <mergeCell ref="C4:C6"/>
    <mergeCell ref="H4:H6"/>
    <mergeCell ref="L4:L6"/>
    <mergeCell ref="D4:D6"/>
    <mergeCell ref="E4:E6"/>
    <mergeCell ref="F4:F6"/>
    <mergeCell ref="G4:G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E71"/>
  <sheetViews>
    <sheetView view="pageBreakPreview" topLeftCell="G1" zoomScale="50" zoomScaleNormal="69" zoomScaleSheetLayoutView="50" workbookViewId="0">
      <selection activeCell="U36" sqref="U36:Z36"/>
    </sheetView>
  </sheetViews>
  <sheetFormatPr defaultRowHeight="18.75"/>
  <cols>
    <col min="1" max="1" width="6.140625" style="1" customWidth="1"/>
    <col min="2" max="2" width="24.42578125" style="1" customWidth="1"/>
    <col min="3" max="6" width="19.85546875" style="1" customWidth="1"/>
    <col min="7" max="10" width="11.5703125" style="1" customWidth="1"/>
    <col min="11" max="16" width="17" style="1" customWidth="1"/>
    <col min="17" max="22" width="10.140625" style="1" customWidth="1"/>
    <col min="23" max="26" width="19" style="1" customWidth="1"/>
    <col min="27" max="31" width="11" style="1" customWidth="1"/>
    <col min="32" max="16384" width="9.140625" style="1"/>
  </cols>
  <sheetData>
    <row r="1" spans="1:3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Q1" s="27"/>
      <c r="R1" s="27"/>
      <c r="S1" s="27"/>
      <c r="T1" s="27"/>
      <c r="U1" s="27"/>
      <c r="AB1" s="544"/>
      <c r="AC1" s="545"/>
      <c r="AD1" s="545"/>
      <c r="AE1" s="545"/>
    </row>
    <row r="2" spans="1:31" ht="18.75" customHeight="1">
      <c r="B2" s="36" t="s">
        <v>254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</row>
    <row r="3" spans="1:3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1" ht="18.75" customHeight="1">
      <c r="A4" s="431" t="s">
        <v>54</v>
      </c>
      <c r="B4" s="431" t="s">
        <v>210</v>
      </c>
      <c r="C4" s="508" t="s">
        <v>211</v>
      </c>
      <c r="D4" s="509"/>
      <c r="E4" s="509"/>
      <c r="F4" s="510"/>
      <c r="G4" s="508" t="s">
        <v>347</v>
      </c>
      <c r="H4" s="509"/>
      <c r="I4" s="509"/>
      <c r="J4" s="509"/>
      <c r="K4" s="509"/>
      <c r="L4" s="510"/>
      <c r="M4" s="508" t="s">
        <v>212</v>
      </c>
      <c r="N4" s="509"/>
      <c r="O4" s="509"/>
      <c r="P4" s="510"/>
      <c r="Q4" s="471" t="s">
        <v>300</v>
      </c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2"/>
      <c r="AC4" s="472"/>
      <c r="AD4" s="472"/>
      <c r="AE4" s="473"/>
    </row>
    <row r="5" spans="1:31" ht="48.75" customHeight="1">
      <c r="A5" s="432"/>
      <c r="B5" s="432"/>
      <c r="C5" s="511"/>
      <c r="D5" s="512"/>
      <c r="E5" s="512"/>
      <c r="F5" s="513"/>
      <c r="G5" s="511"/>
      <c r="H5" s="512"/>
      <c r="I5" s="512"/>
      <c r="J5" s="512"/>
      <c r="K5" s="512"/>
      <c r="L5" s="513"/>
      <c r="M5" s="511"/>
      <c r="N5" s="512"/>
      <c r="O5" s="512"/>
      <c r="P5" s="513"/>
      <c r="Q5" s="469" t="s">
        <v>213</v>
      </c>
      <c r="R5" s="351"/>
      <c r="S5" s="470"/>
      <c r="T5" s="469" t="s">
        <v>214</v>
      </c>
      <c r="U5" s="351"/>
      <c r="V5" s="470"/>
      <c r="W5" s="469" t="s">
        <v>43</v>
      </c>
      <c r="X5" s="351"/>
      <c r="Y5" s="470"/>
      <c r="Z5" s="471" t="s">
        <v>215</v>
      </c>
      <c r="AA5" s="472"/>
      <c r="AB5" s="473"/>
      <c r="AC5" s="471" t="s">
        <v>216</v>
      </c>
      <c r="AD5" s="472"/>
      <c r="AE5" s="473"/>
    </row>
    <row r="6" spans="1:31" ht="18" customHeight="1">
      <c r="A6" s="58">
        <v>1</v>
      </c>
      <c r="B6" s="59">
        <v>2</v>
      </c>
      <c r="C6" s="501">
        <v>3</v>
      </c>
      <c r="D6" s="502"/>
      <c r="E6" s="502"/>
      <c r="F6" s="503"/>
      <c r="G6" s="501">
        <v>4</v>
      </c>
      <c r="H6" s="502"/>
      <c r="I6" s="502"/>
      <c r="J6" s="502"/>
      <c r="K6" s="502"/>
      <c r="L6" s="503"/>
      <c r="M6" s="501">
        <v>5</v>
      </c>
      <c r="N6" s="502"/>
      <c r="O6" s="502"/>
      <c r="P6" s="503"/>
      <c r="Q6" s="501">
        <v>6</v>
      </c>
      <c r="R6" s="502"/>
      <c r="S6" s="503"/>
      <c r="T6" s="501">
        <v>7</v>
      </c>
      <c r="U6" s="502"/>
      <c r="V6" s="503"/>
      <c r="W6" s="523">
        <v>8</v>
      </c>
      <c r="X6" s="524"/>
      <c r="Y6" s="525"/>
      <c r="Z6" s="523">
        <v>9</v>
      </c>
      <c r="AA6" s="524"/>
      <c r="AB6" s="525"/>
      <c r="AC6" s="523">
        <v>10</v>
      </c>
      <c r="AD6" s="524"/>
      <c r="AE6" s="525"/>
    </row>
    <row r="7" spans="1:31" ht="20.100000000000001" customHeight="1">
      <c r="A7" s="58"/>
      <c r="B7" s="181"/>
      <c r="C7" s="514"/>
      <c r="D7" s="515"/>
      <c r="E7" s="515"/>
      <c r="F7" s="516"/>
      <c r="G7" s="517"/>
      <c r="H7" s="518"/>
      <c r="I7" s="518"/>
      <c r="J7" s="518"/>
      <c r="K7" s="518"/>
      <c r="L7" s="519"/>
      <c r="M7" s="520">
        <f>SUM(Q7,T7,W7,Z7,AC7)</f>
        <v>0</v>
      </c>
      <c r="N7" s="521"/>
      <c r="O7" s="521"/>
      <c r="P7" s="522"/>
      <c r="Q7" s="504"/>
      <c r="R7" s="505"/>
      <c r="S7" s="506"/>
      <c r="T7" s="504"/>
      <c r="U7" s="505"/>
      <c r="V7" s="506"/>
      <c r="W7" s="504"/>
      <c r="X7" s="505"/>
      <c r="Y7" s="506"/>
      <c r="Z7" s="504"/>
      <c r="AA7" s="505"/>
      <c r="AB7" s="506"/>
      <c r="AC7" s="504"/>
      <c r="AD7" s="505"/>
      <c r="AE7" s="506"/>
    </row>
    <row r="8" spans="1:31" ht="20.100000000000001" customHeight="1">
      <c r="A8" s="58"/>
      <c r="B8" s="181"/>
      <c r="C8" s="514"/>
      <c r="D8" s="515"/>
      <c r="E8" s="515"/>
      <c r="F8" s="516"/>
      <c r="G8" s="517"/>
      <c r="H8" s="518"/>
      <c r="I8" s="518"/>
      <c r="J8" s="518"/>
      <c r="K8" s="518"/>
      <c r="L8" s="519"/>
      <c r="M8" s="520">
        <f>SUM(Q8,T8,W8,Z8,AC8)</f>
        <v>0</v>
      </c>
      <c r="N8" s="521"/>
      <c r="O8" s="521"/>
      <c r="P8" s="522"/>
      <c r="Q8" s="504"/>
      <c r="R8" s="505"/>
      <c r="S8" s="506"/>
      <c r="T8" s="504"/>
      <c r="U8" s="505"/>
      <c r="V8" s="506"/>
      <c r="W8" s="504"/>
      <c r="X8" s="505"/>
      <c r="Y8" s="506"/>
      <c r="Z8" s="504"/>
      <c r="AA8" s="505"/>
      <c r="AB8" s="506"/>
      <c r="AC8" s="504"/>
      <c r="AD8" s="505"/>
      <c r="AE8" s="506"/>
    </row>
    <row r="9" spans="1:31" ht="20.100000000000001" customHeight="1">
      <c r="A9" s="58"/>
      <c r="B9" s="181"/>
      <c r="C9" s="514"/>
      <c r="D9" s="515"/>
      <c r="E9" s="515"/>
      <c r="F9" s="516"/>
      <c r="G9" s="517"/>
      <c r="H9" s="518"/>
      <c r="I9" s="518"/>
      <c r="J9" s="518"/>
      <c r="K9" s="518"/>
      <c r="L9" s="519"/>
      <c r="M9" s="520">
        <f>SUM(Q9,T9,W9,Z9,AC9)</f>
        <v>0</v>
      </c>
      <c r="N9" s="521"/>
      <c r="O9" s="521"/>
      <c r="P9" s="522"/>
      <c r="Q9" s="504"/>
      <c r="R9" s="505"/>
      <c r="S9" s="506"/>
      <c r="T9" s="504"/>
      <c r="U9" s="505"/>
      <c r="V9" s="506"/>
      <c r="W9" s="504"/>
      <c r="X9" s="505"/>
      <c r="Y9" s="506"/>
      <c r="Z9" s="504"/>
      <c r="AA9" s="505"/>
      <c r="AB9" s="506"/>
      <c r="AC9" s="504"/>
      <c r="AD9" s="505"/>
      <c r="AE9" s="506"/>
    </row>
    <row r="10" spans="1:31" ht="20.100000000000001" customHeight="1">
      <c r="A10" s="58"/>
      <c r="B10" s="181"/>
      <c r="C10" s="514"/>
      <c r="D10" s="515"/>
      <c r="E10" s="515"/>
      <c r="F10" s="516"/>
      <c r="G10" s="517"/>
      <c r="H10" s="518"/>
      <c r="I10" s="518"/>
      <c r="J10" s="518"/>
      <c r="K10" s="518"/>
      <c r="L10" s="519"/>
      <c r="M10" s="520">
        <f>SUM(Q10,T10,W10,Z10,AC10)</f>
        <v>0</v>
      </c>
      <c r="N10" s="521"/>
      <c r="O10" s="521"/>
      <c r="P10" s="522"/>
      <c r="Q10" s="504"/>
      <c r="R10" s="505"/>
      <c r="S10" s="506"/>
      <c r="T10" s="504"/>
      <c r="U10" s="505"/>
      <c r="V10" s="506"/>
      <c r="W10" s="504"/>
      <c r="X10" s="505"/>
      <c r="Y10" s="506"/>
      <c r="Z10" s="504"/>
      <c r="AA10" s="505"/>
      <c r="AB10" s="506"/>
      <c r="AC10" s="504"/>
      <c r="AD10" s="505"/>
      <c r="AE10" s="506"/>
    </row>
    <row r="11" spans="1:31" ht="20.100000000000001" customHeight="1">
      <c r="A11" s="526" t="s">
        <v>59</v>
      </c>
      <c r="B11" s="527"/>
      <c r="C11" s="527"/>
      <c r="D11" s="527"/>
      <c r="E11" s="527"/>
      <c r="F11" s="527"/>
      <c r="G11" s="527"/>
      <c r="H11" s="527"/>
      <c r="I11" s="527"/>
      <c r="J11" s="527"/>
      <c r="K11" s="527"/>
      <c r="L11" s="528"/>
      <c r="M11" s="463">
        <f>SUM(M7:P10)</f>
        <v>0</v>
      </c>
      <c r="N11" s="507"/>
      <c r="O11" s="507"/>
      <c r="P11" s="464"/>
      <c r="Q11" s="463">
        <f>SUM(Q7:S10)</f>
        <v>0</v>
      </c>
      <c r="R11" s="507"/>
      <c r="S11" s="464"/>
      <c r="T11" s="463">
        <f>SUM(T7:V10)</f>
        <v>0</v>
      </c>
      <c r="U11" s="507"/>
      <c r="V11" s="464"/>
      <c r="W11" s="463">
        <f>SUM(W7:Y10)</f>
        <v>0</v>
      </c>
      <c r="X11" s="507"/>
      <c r="Y11" s="464"/>
      <c r="Z11" s="463">
        <f>SUM(Z7:AB10)</f>
        <v>0</v>
      </c>
      <c r="AA11" s="507"/>
      <c r="AB11" s="464"/>
      <c r="AC11" s="463">
        <f>SUM(AC7:AE10)</f>
        <v>0</v>
      </c>
      <c r="AD11" s="507"/>
      <c r="AE11" s="464"/>
    </row>
    <row r="12" spans="1:31" ht="18.7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2"/>
      <c r="N12" s="32"/>
      <c r="O12" s="32"/>
      <c r="P12" s="32"/>
      <c r="Q12" s="50"/>
      <c r="R12" s="50"/>
      <c r="S12" s="50"/>
      <c r="T12" s="50"/>
      <c r="U12" s="50"/>
      <c r="V12" s="50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 s="36" customFormat="1" ht="18.75" customHeight="1">
      <c r="B13" s="36" t="s">
        <v>255</v>
      </c>
    </row>
    <row r="14" spans="1:31" s="36" customFormat="1" ht="18.75" customHeight="1"/>
    <row r="15" spans="1:31" ht="18.75" customHeight="1">
      <c r="A15" s="419" t="s">
        <v>54</v>
      </c>
      <c r="B15" s="419" t="s">
        <v>217</v>
      </c>
      <c r="C15" s="420" t="s">
        <v>210</v>
      </c>
      <c r="D15" s="420"/>
      <c r="E15" s="420"/>
      <c r="F15" s="420"/>
      <c r="G15" s="420" t="s">
        <v>347</v>
      </c>
      <c r="H15" s="420"/>
      <c r="I15" s="420"/>
      <c r="J15" s="420"/>
      <c r="K15" s="420"/>
      <c r="L15" s="420"/>
      <c r="M15" s="420"/>
      <c r="N15" s="420"/>
      <c r="O15" s="420"/>
      <c r="P15" s="420"/>
      <c r="Q15" s="420" t="s">
        <v>218</v>
      </c>
      <c r="R15" s="420"/>
      <c r="S15" s="420"/>
      <c r="T15" s="420"/>
      <c r="U15" s="420"/>
      <c r="V15" s="417" t="s">
        <v>219</v>
      </c>
      <c r="W15" s="417"/>
      <c r="X15" s="417"/>
      <c r="Y15" s="417"/>
      <c r="Z15" s="417"/>
      <c r="AA15" s="417"/>
      <c r="AB15" s="417"/>
      <c r="AC15" s="417"/>
      <c r="AD15" s="417"/>
      <c r="AE15" s="417"/>
    </row>
    <row r="16" spans="1:31" ht="18.75" customHeight="1">
      <c r="A16" s="419"/>
      <c r="B16" s="419"/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17" t="s">
        <v>220</v>
      </c>
      <c r="W16" s="417"/>
      <c r="X16" s="417" t="s">
        <v>104</v>
      </c>
      <c r="Y16" s="417"/>
      <c r="Z16" s="417"/>
      <c r="AA16" s="417"/>
      <c r="AB16" s="417"/>
      <c r="AC16" s="417"/>
      <c r="AD16" s="417"/>
      <c r="AE16" s="417"/>
    </row>
    <row r="17" spans="1:31" ht="18.75" customHeight="1">
      <c r="A17" s="419"/>
      <c r="B17" s="419"/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17"/>
      <c r="W17" s="417"/>
      <c r="X17" s="417" t="s">
        <v>378</v>
      </c>
      <c r="Y17" s="417"/>
      <c r="Z17" s="417" t="s">
        <v>370</v>
      </c>
      <c r="AA17" s="417"/>
      <c r="AB17" s="417" t="s">
        <v>371</v>
      </c>
      <c r="AC17" s="417"/>
      <c r="AD17" s="417" t="s">
        <v>85</v>
      </c>
      <c r="AE17" s="417"/>
    </row>
    <row r="18" spans="1:31" ht="18" customHeight="1">
      <c r="A18" s="58">
        <v>1</v>
      </c>
      <c r="B18" s="58">
        <v>2</v>
      </c>
      <c r="C18" s="530">
        <v>3</v>
      </c>
      <c r="D18" s="530"/>
      <c r="E18" s="530"/>
      <c r="F18" s="530"/>
      <c r="G18" s="530">
        <v>4</v>
      </c>
      <c r="H18" s="530"/>
      <c r="I18" s="530"/>
      <c r="J18" s="530"/>
      <c r="K18" s="530"/>
      <c r="L18" s="530"/>
      <c r="M18" s="530"/>
      <c r="N18" s="530"/>
      <c r="O18" s="530"/>
      <c r="P18" s="530"/>
      <c r="Q18" s="530">
        <v>5</v>
      </c>
      <c r="R18" s="530"/>
      <c r="S18" s="530"/>
      <c r="T18" s="530"/>
      <c r="U18" s="530"/>
      <c r="V18" s="530">
        <v>6</v>
      </c>
      <c r="W18" s="530"/>
      <c r="X18" s="529">
        <v>7</v>
      </c>
      <c r="Y18" s="529"/>
      <c r="Z18" s="529">
        <v>8</v>
      </c>
      <c r="AA18" s="529"/>
      <c r="AB18" s="529">
        <v>9</v>
      </c>
      <c r="AC18" s="529"/>
      <c r="AD18" s="529">
        <v>10</v>
      </c>
      <c r="AE18" s="529"/>
    </row>
    <row r="19" spans="1:31" ht="20.100000000000001" customHeight="1">
      <c r="A19" s="80"/>
      <c r="B19" s="75"/>
      <c r="C19" s="531"/>
      <c r="D19" s="531"/>
      <c r="E19" s="531"/>
      <c r="F19" s="531"/>
      <c r="G19" s="532"/>
      <c r="H19" s="532"/>
      <c r="I19" s="532"/>
      <c r="J19" s="532"/>
      <c r="K19" s="532"/>
      <c r="L19" s="532"/>
      <c r="M19" s="532"/>
      <c r="N19" s="532"/>
      <c r="O19" s="532"/>
      <c r="P19" s="532"/>
      <c r="Q19" s="533"/>
      <c r="R19" s="533"/>
      <c r="S19" s="533"/>
      <c r="T19" s="533"/>
      <c r="U19" s="533"/>
      <c r="V19" s="534">
        <f>AD19</f>
        <v>0</v>
      </c>
      <c r="W19" s="534"/>
      <c r="X19" s="534"/>
      <c r="Y19" s="534"/>
      <c r="Z19" s="534"/>
      <c r="AA19" s="534"/>
      <c r="AB19" s="534"/>
      <c r="AC19" s="534"/>
      <c r="AD19" s="534"/>
      <c r="AE19" s="534"/>
    </row>
    <row r="20" spans="1:31" ht="20.100000000000001" customHeight="1">
      <c r="A20" s="80"/>
      <c r="B20" s="75"/>
      <c r="C20" s="531"/>
      <c r="D20" s="531"/>
      <c r="E20" s="531"/>
      <c r="F20" s="531"/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3"/>
      <c r="R20" s="533"/>
      <c r="S20" s="533"/>
      <c r="T20" s="533"/>
      <c r="U20" s="533"/>
      <c r="V20" s="534">
        <f>AD20</f>
        <v>0</v>
      </c>
      <c r="W20" s="534"/>
      <c r="X20" s="534"/>
      <c r="Y20" s="534"/>
      <c r="Z20" s="534"/>
      <c r="AA20" s="534"/>
      <c r="AB20" s="534"/>
      <c r="AC20" s="534"/>
      <c r="AD20" s="534"/>
      <c r="AE20" s="534"/>
    </row>
    <row r="21" spans="1:31" ht="20.100000000000001" customHeight="1">
      <c r="A21" s="80"/>
      <c r="B21" s="75"/>
      <c r="C21" s="531"/>
      <c r="D21" s="531"/>
      <c r="E21" s="531"/>
      <c r="F21" s="531"/>
      <c r="G21" s="532"/>
      <c r="H21" s="532"/>
      <c r="I21" s="532"/>
      <c r="J21" s="532"/>
      <c r="K21" s="532"/>
      <c r="L21" s="532"/>
      <c r="M21" s="532"/>
      <c r="N21" s="532"/>
      <c r="O21" s="532"/>
      <c r="P21" s="532"/>
      <c r="Q21" s="533"/>
      <c r="R21" s="533"/>
      <c r="S21" s="533"/>
      <c r="T21" s="533"/>
      <c r="U21" s="533"/>
      <c r="V21" s="534">
        <f>AD21</f>
        <v>0</v>
      </c>
      <c r="W21" s="534"/>
      <c r="X21" s="534"/>
      <c r="Y21" s="534"/>
      <c r="Z21" s="534"/>
      <c r="AA21" s="534"/>
      <c r="AB21" s="534"/>
      <c r="AC21" s="534"/>
      <c r="AD21" s="534"/>
      <c r="AE21" s="534"/>
    </row>
    <row r="22" spans="1:31" ht="20.100000000000001" customHeight="1">
      <c r="A22" s="80"/>
      <c r="B22" s="75"/>
      <c r="C22" s="531"/>
      <c r="D22" s="531"/>
      <c r="E22" s="531"/>
      <c r="F22" s="531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3"/>
      <c r="R22" s="533"/>
      <c r="S22" s="533"/>
      <c r="T22" s="533"/>
      <c r="U22" s="533"/>
      <c r="V22" s="534">
        <f>AD22</f>
        <v>0</v>
      </c>
      <c r="W22" s="534"/>
      <c r="X22" s="534"/>
      <c r="Y22" s="534"/>
      <c r="Z22" s="534"/>
      <c r="AA22" s="534"/>
      <c r="AB22" s="534"/>
      <c r="AC22" s="534"/>
      <c r="AD22" s="534"/>
      <c r="AE22" s="534"/>
    </row>
    <row r="23" spans="1:31" ht="20.100000000000001" customHeight="1">
      <c r="A23" s="419" t="s">
        <v>59</v>
      </c>
      <c r="B23" s="419"/>
      <c r="C23" s="419"/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534">
        <f>AD23</f>
        <v>0</v>
      </c>
      <c r="W23" s="534"/>
      <c r="X23" s="465">
        <f>SUM(X19:Y22)</f>
        <v>0</v>
      </c>
      <c r="Y23" s="465"/>
      <c r="Z23" s="465">
        <f>SUM(Z19:AA22)</f>
        <v>0</v>
      </c>
      <c r="AA23" s="465"/>
      <c r="AB23" s="465">
        <f>SUM(AB19:AC22)</f>
        <v>0</v>
      </c>
      <c r="AC23" s="465"/>
      <c r="AD23" s="465">
        <f>SUM(AD19:AE22)</f>
        <v>0</v>
      </c>
      <c r="AE23" s="465"/>
    </row>
    <row r="24" spans="1:3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7"/>
      <c r="R24" s="27"/>
      <c r="S24" s="27"/>
      <c r="T24" s="27"/>
      <c r="U24" s="27"/>
      <c r="AE24" s="27"/>
    </row>
    <row r="25" spans="1:3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7"/>
      <c r="R25" s="27"/>
      <c r="S25" s="27"/>
      <c r="T25" s="27"/>
      <c r="U25" s="27"/>
      <c r="AE25" s="27"/>
    </row>
    <row r="26" spans="1:31" s="36" customFormat="1" ht="18.75" customHeight="1">
      <c r="B26" s="36" t="s">
        <v>233</v>
      </c>
    </row>
    <row r="27" spans="1:31">
      <c r="A27" s="23"/>
      <c r="B27" s="23"/>
      <c r="C27" s="23"/>
      <c r="D27" s="23"/>
      <c r="E27" s="23"/>
      <c r="F27" s="23"/>
      <c r="G27" s="23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23"/>
      <c r="Y27" s="62" t="s">
        <v>252</v>
      </c>
    </row>
    <row r="28" spans="1:31" ht="30" customHeight="1">
      <c r="A28" s="420" t="s">
        <v>54</v>
      </c>
      <c r="B28" s="420" t="s">
        <v>256</v>
      </c>
      <c r="C28" s="420"/>
      <c r="D28" s="420"/>
      <c r="E28" s="420"/>
      <c r="F28" s="420"/>
      <c r="G28" s="469" t="s">
        <v>58</v>
      </c>
      <c r="H28" s="351"/>
      <c r="I28" s="351"/>
      <c r="J28" s="470"/>
      <c r="K28" s="469" t="s">
        <v>95</v>
      </c>
      <c r="L28" s="351"/>
      <c r="M28" s="351"/>
      <c r="N28" s="470"/>
      <c r="O28" s="469" t="s">
        <v>305</v>
      </c>
      <c r="P28" s="351"/>
      <c r="Q28" s="351"/>
      <c r="R28" s="470"/>
      <c r="S28" s="469" t="s">
        <v>141</v>
      </c>
      <c r="T28" s="351"/>
      <c r="U28" s="351"/>
      <c r="V28" s="470"/>
      <c r="W28" s="469" t="s">
        <v>59</v>
      </c>
      <c r="X28" s="351"/>
      <c r="Y28" s="351"/>
      <c r="Z28" s="470"/>
    </row>
    <row r="29" spans="1:31" ht="30" customHeight="1">
      <c r="A29" s="420"/>
      <c r="B29" s="420"/>
      <c r="C29" s="420"/>
      <c r="D29" s="420"/>
      <c r="E29" s="420"/>
      <c r="F29" s="420"/>
      <c r="G29" s="469" t="s">
        <v>104</v>
      </c>
      <c r="H29" s="351"/>
      <c r="I29" s="351"/>
      <c r="J29" s="470"/>
      <c r="K29" s="469" t="s">
        <v>104</v>
      </c>
      <c r="L29" s="351"/>
      <c r="M29" s="351"/>
      <c r="N29" s="470"/>
      <c r="O29" s="469" t="s">
        <v>104</v>
      </c>
      <c r="P29" s="351"/>
      <c r="Q29" s="351"/>
      <c r="R29" s="470"/>
      <c r="S29" s="469" t="s">
        <v>104</v>
      </c>
      <c r="T29" s="351"/>
      <c r="U29" s="351"/>
      <c r="V29" s="470"/>
      <c r="W29" s="469" t="s">
        <v>104</v>
      </c>
      <c r="X29" s="351"/>
      <c r="Y29" s="351"/>
      <c r="Z29" s="470"/>
    </row>
    <row r="30" spans="1:31" ht="39.950000000000003" customHeight="1">
      <c r="A30" s="420"/>
      <c r="B30" s="420"/>
      <c r="C30" s="420"/>
      <c r="D30" s="420"/>
      <c r="E30" s="420"/>
      <c r="F30" s="420"/>
      <c r="G30" s="239" t="s">
        <v>379</v>
      </c>
      <c r="H30" s="239" t="s">
        <v>370</v>
      </c>
      <c r="I30" s="239" t="s">
        <v>371</v>
      </c>
      <c r="J30" s="239" t="s">
        <v>85</v>
      </c>
      <c r="K30" s="239" t="s">
        <v>379</v>
      </c>
      <c r="L30" s="239" t="s">
        <v>370</v>
      </c>
      <c r="M30" s="239" t="s">
        <v>371</v>
      </c>
      <c r="N30" s="239" t="s">
        <v>85</v>
      </c>
      <c r="O30" s="239" t="s">
        <v>379</v>
      </c>
      <c r="P30" s="239" t="s">
        <v>370</v>
      </c>
      <c r="Q30" s="239" t="s">
        <v>371</v>
      </c>
      <c r="R30" s="239" t="s">
        <v>85</v>
      </c>
      <c r="S30" s="239" t="s">
        <v>379</v>
      </c>
      <c r="T30" s="239" t="s">
        <v>370</v>
      </c>
      <c r="U30" s="239" t="s">
        <v>371</v>
      </c>
      <c r="V30" s="239" t="s">
        <v>85</v>
      </c>
      <c r="W30" s="239" t="s">
        <v>379</v>
      </c>
      <c r="X30" s="239" t="s">
        <v>370</v>
      </c>
      <c r="Y30" s="239" t="s">
        <v>371</v>
      </c>
      <c r="Z30" s="239" t="s">
        <v>85</v>
      </c>
    </row>
    <row r="31" spans="1:31" ht="18" customHeight="1">
      <c r="A31" s="239">
        <v>1</v>
      </c>
      <c r="B31" s="420">
        <v>2</v>
      </c>
      <c r="C31" s="420"/>
      <c r="D31" s="420"/>
      <c r="E31" s="420"/>
      <c r="F31" s="420"/>
      <c r="G31" s="239">
        <v>3</v>
      </c>
      <c r="H31" s="193">
        <v>4</v>
      </c>
      <c r="I31" s="193">
        <v>5</v>
      </c>
      <c r="J31" s="193">
        <v>6</v>
      </c>
      <c r="K31" s="193">
        <v>7</v>
      </c>
      <c r="L31" s="193">
        <v>8</v>
      </c>
      <c r="M31" s="193">
        <v>9</v>
      </c>
      <c r="N31" s="239">
        <v>10</v>
      </c>
      <c r="O31" s="193">
        <v>11</v>
      </c>
      <c r="P31" s="193">
        <v>12</v>
      </c>
      <c r="Q31" s="193">
        <v>13</v>
      </c>
      <c r="R31" s="193">
        <v>14</v>
      </c>
      <c r="S31" s="239">
        <v>15</v>
      </c>
      <c r="T31" s="193">
        <v>16</v>
      </c>
      <c r="U31" s="193">
        <v>17</v>
      </c>
      <c r="V31" s="193">
        <v>18</v>
      </c>
      <c r="W31" s="193">
        <v>19</v>
      </c>
      <c r="X31" s="193">
        <v>20</v>
      </c>
      <c r="Y31" s="239">
        <v>21</v>
      </c>
      <c r="Z31" s="238">
        <v>22</v>
      </c>
    </row>
    <row r="32" spans="1:31" ht="20.100000000000001" customHeight="1">
      <c r="A32" s="79"/>
      <c r="B32" s="500"/>
      <c r="C32" s="500"/>
      <c r="D32" s="500"/>
      <c r="E32" s="500"/>
      <c r="F32" s="500"/>
      <c r="G32" s="246"/>
      <c r="H32" s="246"/>
      <c r="I32" s="246"/>
      <c r="J32" s="246"/>
      <c r="K32" s="266"/>
      <c r="L32" s="266"/>
      <c r="M32" s="266"/>
      <c r="N32" s="266"/>
      <c r="O32" s="246"/>
      <c r="P32" s="246"/>
      <c r="Q32" s="246"/>
      <c r="R32" s="246"/>
      <c r="S32" s="246"/>
      <c r="T32" s="246"/>
      <c r="U32" s="246"/>
      <c r="V32" s="246"/>
      <c r="W32" s="247"/>
      <c r="X32" s="247"/>
      <c r="Y32" s="247"/>
      <c r="Z32" s="247"/>
    </row>
    <row r="33" spans="1:31" ht="20.100000000000001" customHeight="1">
      <c r="A33" s="79"/>
      <c r="B33" s="500"/>
      <c r="C33" s="500"/>
      <c r="D33" s="500"/>
      <c r="E33" s="500"/>
      <c r="F33" s="500"/>
      <c r="G33" s="246"/>
      <c r="H33" s="246"/>
      <c r="I33" s="246"/>
      <c r="J33" s="246"/>
      <c r="K33" s="266"/>
      <c r="L33" s="266"/>
      <c r="M33" s="266"/>
      <c r="N33" s="266"/>
      <c r="O33" s="246"/>
      <c r="P33" s="246"/>
      <c r="Q33" s="246"/>
      <c r="R33" s="246"/>
      <c r="S33" s="246"/>
      <c r="T33" s="246"/>
      <c r="U33" s="246"/>
      <c r="V33" s="246"/>
      <c r="W33" s="247"/>
      <c r="X33" s="247"/>
      <c r="Y33" s="247"/>
      <c r="Z33" s="247"/>
    </row>
    <row r="34" spans="1:31">
      <c r="A34" s="221"/>
      <c r="B34" s="541"/>
      <c r="C34" s="542"/>
      <c r="D34" s="542"/>
      <c r="E34" s="542"/>
      <c r="F34" s="543"/>
      <c r="G34" s="220"/>
      <c r="H34" s="220"/>
      <c r="I34" s="220"/>
      <c r="J34" s="220"/>
      <c r="K34" s="273"/>
      <c r="L34" s="273"/>
      <c r="M34" s="273"/>
      <c r="N34" s="273"/>
      <c r="O34" s="220"/>
      <c r="P34" s="220"/>
      <c r="Q34" s="220"/>
      <c r="R34" s="220"/>
      <c r="S34" s="220"/>
      <c r="T34" s="220"/>
      <c r="U34" s="220"/>
      <c r="V34" s="220"/>
      <c r="W34" s="258"/>
      <c r="X34" s="258"/>
      <c r="Y34" s="258"/>
      <c r="Z34" s="258"/>
    </row>
    <row r="35" spans="1:31">
      <c r="A35" s="221"/>
      <c r="B35" s="541"/>
      <c r="C35" s="542"/>
      <c r="D35" s="542"/>
      <c r="E35" s="542"/>
      <c r="F35" s="543"/>
      <c r="G35" s="220"/>
      <c r="H35" s="220"/>
      <c r="I35" s="220"/>
      <c r="J35" s="220"/>
      <c r="K35" s="273"/>
      <c r="L35" s="273"/>
      <c r="M35" s="273"/>
      <c r="N35" s="273"/>
      <c r="O35" s="220"/>
      <c r="P35" s="220"/>
      <c r="Q35" s="220"/>
      <c r="R35" s="220"/>
      <c r="S35" s="220"/>
      <c r="T35" s="220"/>
      <c r="U35" s="220"/>
      <c r="V35" s="220"/>
      <c r="W35" s="258"/>
      <c r="X35" s="258"/>
      <c r="Y35" s="258"/>
      <c r="Z35" s="258"/>
    </row>
    <row r="36" spans="1:31" ht="20.100000000000001" customHeight="1">
      <c r="A36" s="538" t="s">
        <v>59</v>
      </c>
      <c r="B36" s="539"/>
      <c r="C36" s="539"/>
      <c r="D36" s="539"/>
      <c r="E36" s="539"/>
      <c r="F36" s="540"/>
      <c r="G36" s="247">
        <f>SUM(G32:G35)</f>
        <v>0</v>
      </c>
      <c r="H36" s="247">
        <f>SUM(H32:H35)</f>
        <v>0</v>
      </c>
      <c r="I36" s="247">
        <f>SUM(I32:I35)</f>
        <v>0</v>
      </c>
      <c r="J36" s="247">
        <f>SUM(J32:J35)</f>
        <v>0</v>
      </c>
      <c r="K36" s="275">
        <f t="shared" ref="K36:N36" si="0">SUM(K32:K35)</f>
        <v>0</v>
      </c>
      <c r="L36" s="275">
        <f t="shared" si="0"/>
        <v>0</v>
      </c>
      <c r="M36" s="275">
        <f t="shared" si="0"/>
        <v>0</v>
      </c>
      <c r="N36" s="275">
        <f t="shared" si="0"/>
        <v>0</v>
      </c>
      <c r="O36" s="247">
        <f t="shared" ref="O36:U36" si="1">SUM(O32:O35)</f>
        <v>0</v>
      </c>
      <c r="P36" s="247">
        <f t="shared" si="1"/>
        <v>0</v>
      </c>
      <c r="Q36" s="247">
        <f t="shared" si="1"/>
        <v>0</v>
      </c>
      <c r="R36" s="247">
        <f t="shared" si="1"/>
        <v>0</v>
      </c>
      <c r="S36" s="247">
        <f t="shared" si="1"/>
        <v>0</v>
      </c>
      <c r="T36" s="247">
        <f t="shared" si="1"/>
        <v>0</v>
      </c>
      <c r="U36" s="247">
        <f t="shared" si="1"/>
        <v>0</v>
      </c>
      <c r="V36" s="275">
        <f t="shared" ref="V36:Z36" si="2">SUM(V32:V35)</f>
        <v>0</v>
      </c>
      <c r="W36" s="275">
        <f t="shared" si="2"/>
        <v>0</v>
      </c>
      <c r="X36" s="275">
        <f t="shared" si="2"/>
        <v>0</v>
      </c>
      <c r="Y36" s="275">
        <f t="shared" si="2"/>
        <v>0</v>
      </c>
      <c r="Z36" s="275">
        <f t="shared" si="2"/>
        <v>0</v>
      </c>
    </row>
    <row r="37" spans="1:31" ht="20.100000000000001" customHeight="1">
      <c r="A37" s="535" t="s">
        <v>60</v>
      </c>
      <c r="B37" s="536"/>
      <c r="C37" s="536"/>
      <c r="D37" s="536"/>
      <c r="E37" s="536"/>
      <c r="F37" s="53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</row>
    <row r="38" spans="1:31" ht="20.100000000000001" customHeight="1">
      <c r="A38" s="48"/>
      <c r="B38" s="4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48"/>
      <c r="T38" s="48"/>
      <c r="U38" s="48"/>
      <c r="V38" s="48"/>
      <c r="W38" s="78"/>
      <c r="X38" s="48"/>
      <c r="Y38" s="48"/>
      <c r="Z38" s="48"/>
      <c r="AA38" s="48"/>
    </row>
    <row r="39" spans="1:31" ht="20.100000000000001" customHeight="1">
      <c r="A39" s="13"/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31" s="36" customFormat="1" ht="20.100000000000001" customHeight="1">
      <c r="B40" s="36" t="s">
        <v>257</v>
      </c>
    </row>
    <row r="41" spans="1:31" s="63" customFormat="1" ht="20.100000000000001" customHeight="1">
      <c r="A41" s="1"/>
      <c r="B41" s="1"/>
      <c r="C41" s="1"/>
      <c r="D41" s="1"/>
      <c r="E41" s="1"/>
      <c r="F41" s="1"/>
      <c r="G41" s="1"/>
      <c r="H41" s="1"/>
      <c r="I41" s="1"/>
      <c r="K41" s="1"/>
      <c r="AD41" s="62" t="s">
        <v>252</v>
      </c>
    </row>
    <row r="42" spans="1:31" s="64" customFormat="1" ht="34.5" customHeight="1">
      <c r="A42" s="417" t="s">
        <v>225</v>
      </c>
      <c r="B42" s="420" t="s">
        <v>304</v>
      </c>
      <c r="C42" s="420" t="s">
        <v>335</v>
      </c>
      <c r="D42" s="420"/>
      <c r="E42" s="420" t="s">
        <v>226</v>
      </c>
      <c r="F42" s="420"/>
      <c r="G42" s="420" t="s">
        <v>227</v>
      </c>
      <c r="H42" s="420"/>
      <c r="I42" s="420" t="s">
        <v>295</v>
      </c>
      <c r="J42" s="420"/>
      <c r="K42" s="420" t="s">
        <v>150</v>
      </c>
      <c r="L42" s="420"/>
      <c r="M42" s="420"/>
      <c r="N42" s="420"/>
      <c r="O42" s="420"/>
      <c r="P42" s="420"/>
      <c r="Q42" s="420"/>
      <c r="R42" s="420"/>
      <c r="S42" s="420"/>
      <c r="T42" s="420"/>
      <c r="U42" s="420" t="s">
        <v>336</v>
      </c>
      <c r="V42" s="420"/>
      <c r="W42" s="420"/>
      <c r="X42" s="420"/>
      <c r="Y42" s="420"/>
      <c r="Z42" s="420" t="s">
        <v>299</v>
      </c>
      <c r="AA42" s="420"/>
      <c r="AB42" s="420"/>
      <c r="AC42" s="420"/>
      <c r="AD42" s="420"/>
      <c r="AE42" s="420"/>
    </row>
    <row r="43" spans="1:31" s="64" customFormat="1" ht="52.5" customHeight="1">
      <c r="A43" s="417"/>
      <c r="B43" s="420"/>
      <c r="C43" s="420"/>
      <c r="D43" s="420"/>
      <c r="E43" s="420"/>
      <c r="F43" s="420"/>
      <c r="G43" s="420"/>
      <c r="H43" s="420"/>
      <c r="I43" s="420"/>
      <c r="J43" s="420"/>
      <c r="K43" s="420" t="s">
        <v>348</v>
      </c>
      <c r="L43" s="420"/>
      <c r="M43" s="420" t="s">
        <v>349</v>
      </c>
      <c r="N43" s="420"/>
      <c r="O43" s="420" t="s">
        <v>334</v>
      </c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  <c r="AC43" s="420"/>
      <c r="AD43" s="420"/>
      <c r="AE43" s="420"/>
    </row>
    <row r="44" spans="1:31" s="65" customFormat="1" ht="82.5" customHeight="1">
      <c r="A44" s="417"/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 t="s">
        <v>296</v>
      </c>
      <c r="P44" s="420"/>
      <c r="Q44" s="420" t="s">
        <v>297</v>
      </c>
      <c r="R44" s="420"/>
      <c r="S44" s="420" t="s">
        <v>298</v>
      </c>
      <c r="T44" s="420"/>
      <c r="U44" s="420"/>
      <c r="V44" s="420"/>
      <c r="W44" s="420"/>
      <c r="X44" s="420"/>
      <c r="Y44" s="420"/>
      <c r="Z44" s="420"/>
      <c r="AA44" s="420"/>
      <c r="AB44" s="420"/>
      <c r="AC44" s="420"/>
      <c r="AD44" s="420"/>
      <c r="AE44" s="420"/>
    </row>
    <row r="45" spans="1:31" s="64" customFormat="1" ht="18" customHeight="1">
      <c r="A45" s="238">
        <v>1</v>
      </c>
      <c r="B45" s="239">
        <v>2</v>
      </c>
      <c r="C45" s="420">
        <v>3</v>
      </c>
      <c r="D45" s="420"/>
      <c r="E45" s="420">
        <v>4</v>
      </c>
      <c r="F45" s="420"/>
      <c r="G45" s="420">
        <v>5</v>
      </c>
      <c r="H45" s="420"/>
      <c r="I45" s="420">
        <v>6</v>
      </c>
      <c r="J45" s="420"/>
      <c r="K45" s="469">
        <v>7</v>
      </c>
      <c r="L45" s="470"/>
      <c r="M45" s="469">
        <v>8</v>
      </c>
      <c r="N45" s="470"/>
      <c r="O45" s="420">
        <v>9</v>
      </c>
      <c r="P45" s="420"/>
      <c r="Q45" s="417">
        <v>10</v>
      </c>
      <c r="R45" s="417"/>
      <c r="S45" s="420">
        <v>11</v>
      </c>
      <c r="T45" s="420"/>
      <c r="U45" s="420">
        <v>12</v>
      </c>
      <c r="V45" s="420"/>
      <c r="W45" s="420"/>
      <c r="X45" s="420"/>
      <c r="Y45" s="420"/>
      <c r="Z45" s="420">
        <v>13</v>
      </c>
      <c r="AA45" s="420"/>
      <c r="AB45" s="420"/>
      <c r="AC45" s="420"/>
      <c r="AD45" s="420"/>
      <c r="AE45" s="420"/>
    </row>
    <row r="46" spans="1:31" s="64" customFormat="1" ht="20.100000000000001" customHeight="1">
      <c r="A46" s="249"/>
      <c r="B46" s="182"/>
      <c r="C46" s="499"/>
      <c r="D46" s="499"/>
      <c r="E46" s="460"/>
      <c r="F46" s="460"/>
      <c r="G46" s="460"/>
      <c r="H46" s="460"/>
      <c r="I46" s="460"/>
      <c r="J46" s="460"/>
      <c r="K46" s="461"/>
      <c r="L46" s="462"/>
      <c r="M46" s="463">
        <f t="shared" ref="M46:M52" si="3">SUM(O46,Q46,S46)</f>
        <v>0</v>
      </c>
      <c r="N46" s="464"/>
      <c r="O46" s="460"/>
      <c r="P46" s="460"/>
      <c r="Q46" s="460"/>
      <c r="R46" s="460"/>
      <c r="S46" s="460"/>
      <c r="T46" s="460"/>
      <c r="U46" s="479"/>
      <c r="V46" s="479"/>
      <c r="W46" s="479"/>
      <c r="X46" s="479"/>
      <c r="Y46" s="479"/>
      <c r="Z46" s="500"/>
      <c r="AA46" s="500"/>
      <c r="AB46" s="500"/>
      <c r="AC46" s="500"/>
      <c r="AD46" s="500"/>
      <c r="AE46" s="500"/>
    </row>
    <row r="47" spans="1:31" s="64" customFormat="1" ht="20.100000000000001" customHeight="1">
      <c r="A47" s="249"/>
      <c r="B47" s="182"/>
      <c r="C47" s="499"/>
      <c r="D47" s="499"/>
      <c r="E47" s="460"/>
      <c r="F47" s="460"/>
      <c r="G47" s="460"/>
      <c r="H47" s="460"/>
      <c r="I47" s="460"/>
      <c r="J47" s="460"/>
      <c r="K47" s="461"/>
      <c r="L47" s="462"/>
      <c r="M47" s="463">
        <f t="shared" si="3"/>
        <v>0</v>
      </c>
      <c r="N47" s="464"/>
      <c r="O47" s="460"/>
      <c r="P47" s="460"/>
      <c r="Q47" s="460"/>
      <c r="R47" s="460"/>
      <c r="S47" s="460"/>
      <c r="T47" s="460"/>
      <c r="U47" s="479"/>
      <c r="V47" s="479"/>
      <c r="W47" s="479"/>
      <c r="X47" s="479"/>
      <c r="Y47" s="479"/>
      <c r="Z47" s="500"/>
      <c r="AA47" s="500"/>
      <c r="AB47" s="500"/>
      <c r="AC47" s="500"/>
      <c r="AD47" s="500"/>
      <c r="AE47" s="500"/>
    </row>
    <row r="48" spans="1:31" s="64" customFormat="1" ht="20.100000000000001" customHeight="1">
      <c r="A48" s="249"/>
      <c r="B48" s="182"/>
      <c r="C48" s="499"/>
      <c r="D48" s="499"/>
      <c r="E48" s="460"/>
      <c r="F48" s="460"/>
      <c r="G48" s="460"/>
      <c r="H48" s="460"/>
      <c r="I48" s="460"/>
      <c r="J48" s="460"/>
      <c r="K48" s="461"/>
      <c r="L48" s="462"/>
      <c r="M48" s="463">
        <f t="shared" si="3"/>
        <v>0</v>
      </c>
      <c r="N48" s="464"/>
      <c r="O48" s="460"/>
      <c r="P48" s="460"/>
      <c r="Q48" s="460"/>
      <c r="R48" s="460"/>
      <c r="S48" s="460"/>
      <c r="T48" s="460"/>
      <c r="U48" s="479"/>
      <c r="V48" s="479"/>
      <c r="W48" s="479"/>
      <c r="X48" s="479"/>
      <c r="Y48" s="479"/>
      <c r="Z48" s="500"/>
      <c r="AA48" s="500"/>
      <c r="AB48" s="500"/>
      <c r="AC48" s="500"/>
      <c r="AD48" s="500"/>
      <c r="AE48" s="500"/>
    </row>
    <row r="49" spans="1:31" s="64" customFormat="1" ht="20.100000000000001" customHeight="1">
      <c r="A49" s="249"/>
      <c r="B49" s="182"/>
      <c r="C49" s="499"/>
      <c r="D49" s="499"/>
      <c r="E49" s="460"/>
      <c r="F49" s="460"/>
      <c r="G49" s="460"/>
      <c r="H49" s="460"/>
      <c r="I49" s="460"/>
      <c r="J49" s="460"/>
      <c r="K49" s="461"/>
      <c r="L49" s="462"/>
      <c r="M49" s="463">
        <f>SUM(O49,Q49,S49)</f>
        <v>0</v>
      </c>
      <c r="N49" s="464"/>
      <c r="O49" s="460"/>
      <c r="P49" s="460"/>
      <c r="Q49" s="460"/>
      <c r="R49" s="460"/>
      <c r="S49" s="460"/>
      <c r="T49" s="460"/>
      <c r="U49" s="479"/>
      <c r="V49" s="479"/>
      <c r="W49" s="479"/>
      <c r="X49" s="479"/>
      <c r="Y49" s="479"/>
      <c r="Z49" s="500"/>
      <c r="AA49" s="500"/>
      <c r="AB49" s="500"/>
      <c r="AC49" s="500"/>
      <c r="AD49" s="500"/>
      <c r="AE49" s="500"/>
    </row>
    <row r="50" spans="1:31" s="64" customFormat="1" ht="20.100000000000001" customHeight="1">
      <c r="A50" s="249"/>
      <c r="B50" s="182"/>
      <c r="C50" s="499"/>
      <c r="D50" s="499"/>
      <c r="E50" s="460"/>
      <c r="F50" s="460"/>
      <c r="G50" s="460"/>
      <c r="H50" s="460"/>
      <c r="I50" s="460"/>
      <c r="J50" s="460"/>
      <c r="K50" s="461"/>
      <c r="L50" s="462"/>
      <c r="M50" s="463">
        <f t="shared" si="3"/>
        <v>0</v>
      </c>
      <c r="N50" s="464"/>
      <c r="O50" s="460"/>
      <c r="P50" s="460"/>
      <c r="Q50" s="460"/>
      <c r="R50" s="460"/>
      <c r="S50" s="460"/>
      <c r="T50" s="460"/>
      <c r="U50" s="479"/>
      <c r="V50" s="479"/>
      <c r="W50" s="479"/>
      <c r="X50" s="479"/>
      <c r="Y50" s="479"/>
      <c r="Z50" s="500"/>
      <c r="AA50" s="500"/>
      <c r="AB50" s="500"/>
      <c r="AC50" s="500"/>
      <c r="AD50" s="500"/>
      <c r="AE50" s="500"/>
    </row>
    <row r="51" spans="1:31" s="64" customFormat="1" ht="20.100000000000001" customHeight="1">
      <c r="A51" s="249"/>
      <c r="B51" s="182"/>
      <c r="C51" s="499"/>
      <c r="D51" s="499"/>
      <c r="E51" s="460"/>
      <c r="F51" s="460"/>
      <c r="G51" s="460"/>
      <c r="H51" s="460"/>
      <c r="I51" s="460"/>
      <c r="J51" s="460"/>
      <c r="K51" s="461"/>
      <c r="L51" s="462"/>
      <c r="M51" s="463">
        <f t="shared" si="3"/>
        <v>0</v>
      </c>
      <c r="N51" s="464"/>
      <c r="O51" s="460"/>
      <c r="P51" s="460"/>
      <c r="Q51" s="460"/>
      <c r="R51" s="460"/>
      <c r="S51" s="460"/>
      <c r="T51" s="460"/>
      <c r="U51" s="479"/>
      <c r="V51" s="479"/>
      <c r="W51" s="479"/>
      <c r="X51" s="479"/>
      <c r="Y51" s="479"/>
      <c r="Z51" s="500"/>
      <c r="AA51" s="500"/>
      <c r="AB51" s="500"/>
      <c r="AC51" s="500"/>
      <c r="AD51" s="500"/>
      <c r="AE51" s="500"/>
    </row>
    <row r="52" spans="1:31" s="64" customFormat="1" ht="20.100000000000001" customHeight="1">
      <c r="A52" s="249"/>
      <c r="B52" s="182"/>
      <c r="C52" s="499"/>
      <c r="D52" s="499"/>
      <c r="E52" s="460"/>
      <c r="F52" s="460"/>
      <c r="G52" s="460"/>
      <c r="H52" s="460"/>
      <c r="I52" s="460"/>
      <c r="J52" s="460"/>
      <c r="K52" s="461"/>
      <c r="L52" s="462"/>
      <c r="M52" s="463">
        <f t="shared" si="3"/>
        <v>0</v>
      </c>
      <c r="N52" s="464"/>
      <c r="O52" s="460"/>
      <c r="P52" s="460"/>
      <c r="Q52" s="460"/>
      <c r="R52" s="460"/>
      <c r="S52" s="460"/>
      <c r="T52" s="460"/>
      <c r="U52" s="479"/>
      <c r="V52" s="479"/>
      <c r="W52" s="479"/>
      <c r="X52" s="479"/>
      <c r="Y52" s="479"/>
      <c r="Z52" s="500"/>
      <c r="AA52" s="500"/>
      <c r="AB52" s="500"/>
      <c r="AC52" s="500"/>
      <c r="AD52" s="500"/>
      <c r="AE52" s="500"/>
    </row>
    <row r="53" spans="1:31" s="64" customFormat="1" ht="20.100000000000001" customHeight="1">
      <c r="A53" s="535" t="s">
        <v>59</v>
      </c>
      <c r="B53" s="536"/>
      <c r="C53" s="536"/>
      <c r="D53" s="537"/>
      <c r="E53" s="465">
        <f>SUM(E46:F52)</f>
        <v>0</v>
      </c>
      <c r="F53" s="465"/>
      <c r="G53" s="465">
        <f>SUM(G46:H52)</f>
        <v>0</v>
      </c>
      <c r="H53" s="465"/>
      <c r="I53" s="465">
        <f>SUM(I46:J52)</f>
        <v>0</v>
      </c>
      <c r="J53" s="465"/>
      <c r="K53" s="465">
        <f>SUM(K46:L52)</f>
        <v>0</v>
      </c>
      <c r="L53" s="465"/>
      <c r="M53" s="465">
        <f>SUM(M46:N52)</f>
        <v>0</v>
      </c>
      <c r="N53" s="465"/>
      <c r="O53" s="465">
        <f>SUM(O46:P52)</f>
        <v>0</v>
      </c>
      <c r="P53" s="465"/>
      <c r="Q53" s="465">
        <f>SUM(Q46:R52)</f>
        <v>0</v>
      </c>
      <c r="R53" s="465"/>
      <c r="S53" s="465">
        <f>SUM(S46:T52)</f>
        <v>0</v>
      </c>
      <c r="T53" s="465"/>
      <c r="U53" s="547"/>
      <c r="V53" s="547"/>
      <c r="W53" s="547"/>
      <c r="X53" s="547"/>
      <c r="Y53" s="547"/>
      <c r="Z53" s="548"/>
      <c r="AA53" s="548"/>
      <c r="AB53" s="548"/>
      <c r="AC53" s="548"/>
      <c r="AD53" s="548"/>
      <c r="AE53" s="548"/>
    </row>
    <row r="54" spans="1:31" ht="20.100000000000001" customHeight="1">
      <c r="A54" s="13"/>
      <c r="B54" s="1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31" ht="20.100000000000001" customHeight="1">
      <c r="A55" s="13"/>
      <c r="B55" s="1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31" s="250" customFormat="1" ht="20.100000000000001" customHeight="1">
      <c r="C56" s="36"/>
      <c r="D56" s="36"/>
      <c r="E56" s="36"/>
      <c r="F56" s="36"/>
      <c r="G56" s="36"/>
      <c r="H56" s="36"/>
      <c r="I56" s="36"/>
      <c r="J56" s="36"/>
      <c r="K56" s="36"/>
    </row>
    <row r="57" spans="1:31" s="31" customFormat="1" ht="20.100000000000001" customHeight="1">
      <c r="B57" s="480" t="s">
        <v>486</v>
      </c>
      <c r="C57" s="549"/>
      <c r="D57" s="549"/>
      <c r="E57" s="549"/>
      <c r="F57" s="549"/>
      <c r="G57" s="248"/>
      <c r="H57" s="248"/>
      <c r="I57" s="248"/>
      <c r="J57" s="248"/>
      <c r="K57" s="248"/>
      <c r="L57" s="550" t="s">
        <v>261</v>
      </c>
      <c r="M57" s="550"/>
      <c r="N57" s="550"/>
      <c r="O57" s="550"/>
      <c r="P57" s="550"/>
      <c r="Q57" s="61"/>
      <c r="R57" s="61"/>
      <c r="S57" s="61"/>
      <c r="T57" s="61"/>
      <c r="U57" s="61"/>
      <c r="V57" s="512" t="s">
        <v>437</v>
      </c>
      <c r="W57" s="551"/>
      <c r="X57" s="551"/>
      <c r="Y57" s="551"/>
      <c r="Z57" s="551"/>
    </row>
    <row r="58" spans="1:31" s="250" customFormat="1" ht="19.5" customHeight="1">
      <c r="B58" s="3"/>
      <c r="C58" s="250" t="s">
        <v>82</v>
      </c>
      <c r="E58" s="39"/>
      <c r="F58" s="39"/>
      <c r="G58" s="39"/>
      <c r="H58" s="39"/>
      <c r="I58" s="39"/>
      <c r="J58" s="39"/>
      <c r="K58" s="39"/>
      <c r="M58" s="3"/>
      <c r="N58" s="22" t="s">
        <v>83</v>
      </c>
      <c r="O58" s="3"/>
      <c r="Q58" s="39"/>
      <c r="R58" s="39"/>
      <c r="S58" s="39"/>
      <c r="V58" s="546" t="s">
        <v>142</v>
      </c>
      <c r="W58" s="546"/>
      <c r="X58" s="546"/>
      <c r="Y58" s="546"/>
      <c r="Z58" s="546"/>
    </row>
    <row r="59" spans="1:31" ht="20.100000000000001" customHeight="1">
      <c r="B59" s="33"/>
      <c r="C59" s="33"/>
      <c r="D59" s="33"/>
      <c r="E59" s="33"/>
      <c r="F59" s="33"/>
      <c r="G59" s="33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33"/>
      <c r="U59" s="33"/>
    </row>
    <row r="60" spans="1:31" ht="20.100000000000001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1:31">
      <c r="B62" s="34"/>
    </row>
    <row r="65" spans="2:2" ht="19.5">
      <c r="B65" s="35"/>
    </row>
    <row r="66" spans="2:2" ht="19.5">
      <c r="B66" s="35"/>
    </row>
    <row r="67" spans="2:2" ht="19.5">
      <c r="B67" s="35"/>
    </row>
    <row r="68" spans="2:2" ht="19.5">
      <c r="B68" s="35"/>
    </row>
    <row r="69" spans="2:2" ht="19.5">
      <c r="B69" s="35"/>
    </row>
    <row r="70" spans="2:2" ht="19.5">
      <c r="B70" s="35"/>
    </row>
    <row r="71" spans="2:2" ht="19.5">
      <c r="B71" s="35"/>
    </row>
  </sheetData>
  <mergeCells count="254">
    <mergeCell ref="B57:F57"/>
    <mergeCell ref="L57:P57"/>
    <mergeCell ref="V57:Z57"/>
    <mergeCell ref="K29:N29"/>
    <mergeCell ref="A53:D53"/>
    <mergeCell ref="C52:D52"/>
    <mergeCell ref="E52:F52"/>
    <mergeCell ref="Z52:AE52"/>
    <mergeCell ref="Q53:R53"/>
    <mergeCell ref="K53:L53"/>
    <mergeCell ref="C48:D48"/>
    <mergeCell ref="C47:D47"/>
    <mergeCell ref="E46:F46"/>
    <mergeCell ref="G45:H45"/>
    <mergeCell ref="I47:J47"/>
    <mergeCell ref="G46:H46"/>
    <mergeCell ref="I46:J46"/>
    <mergeCell ref="I45:J45"/>
    <mergeCell ref="C50:D50"/>
    <mergeCell ref="E53:F53"/>
    <mergeCell ref="G53:H53"/>
    <mergeCell ref="I52:J52"/>
    <mergeCell ref="E51:F51"/>
    <mergeCell ref="C51:D51"/>
    <mergeCell ref="V58:Z58"/>
    <mergeCell ref="U53:Y53"/>
    <mergeCell ref="S29:V29"/>
    <mergeCell ref="W28:Z28"/>
    <mergeCell ref="O29:R29"/>
    <mergeCell ref="S52:T52"/>
    <mergeCell ref="Z53:AE53"/>
    <mergeCell ref="M52:N52"/>
    <mergeCell ref="S53:T53"/>
    <mergeCell ref="U52:Y52"/>
    <mergeCell ref="Q49:R49"/>
    <mergeCell ref="S45:T45"/>
    <mergeCell ref="M51:N51"/>
    <mergeCell ref="O51:P51"/>
    <mergeCell ref="Q51:R51"/>
    <mergeCell ref="M50:N50"/>
    <mergeCell ref="M53:N53"/>
    <mergeCell ref="O44:P44"/>
    <mergeCell ref="Q44:R44"/>
    <mergeCell ref="U42:Y44"/>
    <mergeCell ref="K42:T42"/>
    <mergeCell ref="W29:Z29"/>
    <mergeCell ref="S28:V28"/>
    <mergeCell ref="K43:L44"/>
    <mergeCell ref="AB1:AE1"/>
    <mergeCell ref="Q52:R52"/>
    <mergeCell ref="S48:T48"/>
    <mergeCell ref="U48:Y48"/>
    <mergeCell ref="S50:T50"/>
    <mergeCell ref="U50:Y50"/>
    <mergeCell ref="S46:T46"/>
    <mergeCell ref="A23:U23"/>
    <mergeCell ref="K45:L45"/>
    <mergeCell ref="K46:L46"/>
    <mergeCell ref="Z49:AE49"/>
    <mergeCell ref="S49:T49"/>
    <mergeCell ref="U49:Y49"/>
    <mergeCell ref="Q47:R47"/>
    <mergeCell ref="Q46:R46"/>
    <mergeCell ref="O46:P46"/>
    <mergeCell ref="O43:T43"/>
    <mergeCell ref="M47:N47"/>
    <mergeCell ref="M46:N46"/>
    <mergeCell ref="M43:N44"/>
    <mergeCell ref="S44:T44"/>
    <mergeCell ref="M45:N45"/>
    <mergeCell ref="O47:P47"/>
    <mergeCell ref="O45:P45"/>
    <mergeCell ref="A36:F36"/>
    <mergeCell ref="A28:A30"/>
    <mergeCell ref="B31:F31"/>
    <mergeCell ref="A42:A44"/>
    <mergeCell ref="B42:B44"/>
    <mergeCell ref="C42:D44"/>
    <mergeCell ref="E42:F44"/>
    <mergeCell ref="I42:J44"/>
    <mergeCell ref="G42:H44"/>
    <mergeCell ref="B33:F33"/>
    <mergeCell ref="B34:F34"/>
    <mergeCell ref="B35:F35"/>
    <mergeCell ref="Z42:AE44"/>
    <mergeCell ref="A37:F37"/>
    <mergeCell ref="K28:N28"/>
    <mergeCell ref="O28:R28"/>
    <mergeCell ref="AB23:AC23"/>
    <mergeCell ref="AD23:AE23"/>
    <mergeCell ref="C21:F21"/>
    <mergeCell ref="G21:P21"/>
    <mergeCell ref="Q21:U21"/>
    <mergeCell ref="V21:W21"/>
    <mergeCell ref="X21:Y21"/>
    <mergeCell ref="V22:W22"/>
    <mergeCell ref="X23:Y23"/>
    <mergeCell ref="V23:W23"/>
    <mergeCell ref="Z21:AA21"/>
    <mergeCell ref="AB22:AC22"/>
    <mergeCell ref="AD22:AE22"/>
    <mergeCell ref="Z22:AA22"/>
    <mergeCell ref="Z23:AA23"/>
    <mergeCell ref="C22:F22"/>
    <mergeCell ref="G22:P22"/>
    <mergeCell ref="Q22:U22"/>
    <mergeCell ref="B32:F32"/>
    <mergeCell ref="B28:F30"/>
    <mergeCell ref="X19:Y19"/>
    <mergeCell ref="X20:Y20"/>
    <mergeCell ref="X22:Y22"/>
    <mergeCell ref="Z20:AA20"/>
    <mergeCell ref="Z19:AA19"/>
    <mergeCell ref="AD20:AE20"/>
    <mergeCell ref="AD19:AE19"/>
    <mergeCell ref="AB19:AC19"/>
    <mergeCell ref="AB20:AC20"/>
    <mergeCell ref="AB21:AC21"/>
    <mergeCell ref="AD21:AE21"/>
    <mergeCell ref="C18:F18"/>
    <mergeCell ref="C20:F20"/>
    <mergeCell ref="G20:P20"/>
    <mergeCell ref="Q20:U20"/>
    <mergeCell ref="V20:W20"/>
    <mergeCell ref="C19:F19"/>
    <mergeCell ref="G19:P19"/>
    <mergeCell ref="Q19:U19"/>
    <mergeCell ref="V19:W19"/>
    <mergeCell ref="AB18:AC18"/>
    <mergeCell ref="AD18:AE18"/>
    <mergeCell ref="X16:AE16"/>
    <mergeCell ref="X17:Y17"/>
    <mergeCell ref="Z18:AA18"/>
    <mergeCell ref="G18:P18"/>
    <mergeCell ref="X18:Y18"/>
    <mergeCell ref="V18:W18"/>
    <mergeCell ref="Q18:U18"/>
    <mergeCell ref="AC11:AE11"/>
    <mergeCell ref="V15:AE15"/>
    <mergeCell ref="V16:W17"/>
    <mergeCell ref="AD17:AE17"/>
    <mergeCell ref="W11:Y11"/>
    <mergeCell ref="A11:L11"/>
    <mergeCell ref="M11:P11"/>
    <mergeCell ref="Q11:S11"/>
    <mergeCell ref="A15:A17"/>
    <mergeCell ref="B15:B17"/>
    <mergeCell ref="C15:F17"/>
    <mergeCell ref="G15:P17"/>
    <mergeCell ref="C9:F9"/>
    <mergeCell ref="G9:L9"/>
    <mergeCell ref="M9:P9"/>
    <mergeCell ref="Q9:S9"/>
    <mergeCell ref="C10:F10"/>
    <mergeCell ref="G10:L10"/>
    <mergeCell ref="M10:P10"/>
    <mergeCell ref="Q10:S10"/>
    <mergeCell ref="AC8:AE8"/>
    <mergeCell ref="Z8:AB8"/>
    <mergeCell ref="Z9:AB9"/>
    <mergeCell ref="W10:Y10"/>
    <mergeCell ref="AC10:AE10"/>
    <mergeCell ref="AC7:AE7"/>
    <mergeCell ref="A4:A5"/>
    <mergeCell ref="B4:B5"/>
    <mergeCell ref="C4:F5"/>
    <mergeCell ref="G4:L5"/>
    <mergeCell ref="M4:P5"/>
    <mergeCell ref="C8:F8"/>
    <mergeCell ref="C7:F7"/>
    <mergeCell ref="G7:L7"/>
    <mergeCell ref="G6:L6"/>
    <mergeCell ref="M7:P7"/>
    <mergeCell ref="M6:P6"/>
    <mergeCell ref="M8:P8"/>
    <mergeCell ref="C6:F6"/>
    <mergeCell ref="G8:L8"/>
    <mergeCell ref="Z6:AB6"/>
    <mergeCell ref="W6:Y6"/>
    <mergeCell ref="T6:V6"/>
    <mergeCell ref="W8:Y8"/>
    <mergeCell ref="T8:V8"/>
    <mergeCell ref="T7:V7"/>
    <mergeCell ref="W7:Y7"/>
    <mergeCell ref="Z7:AB7"/>
    <mergeCell ref="AC6:AE6"/>
    <mergeCell ref="Q4:AE4"/>
    <mergeCell ref="T5:V5"/>
    <mergeCell ref="W5:Y5"/>
    <mergeCell ref="Z5:AB5"/>
    <mergeCell ref="Q5:S5"/>
    <mergeCell ref="AC5:AE5"/>
    <mergeCell ref="Q6:S6"/>
    <mergeCell ref="I48:J48"/>
    <mergeCell ref="G47:H47"/>
    <mergeCell ref="AC9:AE9"/>
    <mergeCell ref="T9:V9"/>
    <mergeCell ref="W9:Y9"/>
    <mergeCell ref="Z17:AA17"/>
    <mergeCell ref="AB17:AC17"/>
    <mergeCell ref="Z11:AB11"/>
    <mergeCell ref="Z10:AB10"/>
    <mergeCell ref="T11:V11"/>
    <mergeCell ref="G28:J28"/>
    <mergeCell ref="O48:P48"/>
    <mergeCell ref="Q7:S7"/>
    <mergeCell ref="Q15:U17"/>
    <mergeCell ref="Q8:S8"/>
    <mergeCell ref="T10:V10"/>
    <mergeCell ref="G29:J29"/>
    <mergeCell ref="Z47:AE47"/>
    <mergeCell ref="U45:Y45"/>
    <mergeCell ref="U46:Y46"/>
    <mergeCell ref="U47:Y47"/>
    <mergeCell ref="E50:F50"/>
    <mergeCell ref="G50:H50"/>
    <mergeCell ref="I50:J50"/>
    <mergeCell ref="Q50:R50"/>
    <mergeCell ref="E48:F48"/>
    <mergeCell ref="G48:H48"/>
    <mergeCell ref="Z45:AE45"/>
    <mergeCell ref="Z46:AE46"/>
    <mergeCell ref="Q45:R45"/>
    <mergeCell ref="S47:T47"/>
    <mergeCell ref="K47:L47"/>
    <mergeCell ref="K50:L50"/>
    <mergeCell ref="K52:L52"/>
    <mergeCell ref="O53:P53"/>
    <mergeCell ref="I53:J53"/>
    <mergeCell ref="O52:P52"/>
    <mergeCell ref="Z48:AE48"/>
    <mergeCell ref="I51:J51"/>
    <mergeCell ref="K49:L49"/>
    <mergeCell ref="K48:L48"/>
    <mergeCell ref="O50:P50"/>
    <mergeCell ref="Q48:R48"/>
    <mergeCell ref="Z51:AE51"/>
    <mergeCell ref="S51:T51"/>
    <mergeCell ref="U51:Y51"/>
    <mergeCell ref="Z50:AE50"/>
    <mergeCell ref="I49:J49"/>
    <mergeCell ref="M49:N49"/>
    <mergeCell ref="O49:P49"/>
    <mergeCell ref="M48:N48"/>
    <mergeCell ref="K51:L51"/>
    <mergeCell ref="C49:D49"/>
    <mergeCell ref="E49:F49"/>
    <mergeCell ref="E47:F47"/>
    <mergeCell ref="C45:D45"/>
    <mergeCell ref="E45:F45"/>
    <mergeCell ref="C46:D46"/>
    <mergeCell ref="G52:H52"/>
    <mergeCell ref="G49:H49"/>
    <mergeCell ref="G51:H51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32" orientation="landscape" horizontalDpi="4294967293" verticalDpi="1200" r:id="rId1"/>
  <headerFooter alignWithMargins="0"/>
  <rowBreaks count="1" manualBreakCount="1">
    <brk id="23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188"/>
  <sheetViews>
    <sheetView view="pageBreakPreview" zoomScale="80" zoomScaleNormal="75" zoomScaleSheetLayoutView="80" workbookViewId="0">
      <selection activeCell="H19" sqref="H19:I19"/>
    </sheetView>
  </sheetViews>
  <sheetFormatPr defaultRowHeight="18.75"/>
  <cols>
    <col min="1" max="1" width="53.140625" style="205" customWidth="1"/>
    <col min="2" max="2" width="16.85546875" style="22" customWidth="1"/>
    <col min="3" max="3" width="14.5703125" style="22" customWidth="1"/>
    <col min="4" max="5" width="15.5703125" style="22" customWidth="1"/>
    <col min="6" max="6" width="17.28515625" style="22" customWidth="1"/>
    <col min="7" max="10" width="17.28515625" style="205" customWidth="1"/>
    <col min="11" max="11" width="10" style="205" customWidth="1"/>
    <col min="12" max="12" width="9.5703125" style="205" customWidth="1"/>
    <col min="13" max="14" width="9.140625" style="205"/>
    <col min="15" max="15" width="10.5703125" style="205" customWidth="1"/>
    <col min="16" max="16384" width="9.140625" style="205"/>
  </cols>
  <sheetData>
    <row r="1" spans="1:10">
      <c r="A1" s="198"/>
      <c r="B1" s="199"/>
      <c r="C1" s="199"/>
      <c r="D1" s="199"/>
      <c r="E1" s="199"/>
      <c r="F1" s="199" t="s">
        <v>19</v>
      </c>
      <c r="G1" s="198"/>
      <c r="H1" s="198"/>
      <c r="I1" s="198"/>
      <c r="J1" s="198"/>
    </row>
    <row r="2" spans="1:10" ht="18.75" customHeight="1">
      <c r="A2" s="366"/>
      <c r="B2" s="366"/>
      <c r="C2" s="100"/>
      <c r="D2" s="101"/>
      <c r="E2" s="101"/>
      <c r="F2" s="367" t="s">
        <v>493</v>
      </c>
      <c r="G2" s="367"/>
      <c r="H2" s="367"/>
      <c r="I2" s="367"/>
      <c r="J2" s="367"/>
    </row>
    <row r="3" spans="1:10" ht="18.75" customHeight="1">
      <c r="A3" s="368"/>
      <c r="B3" s="368"/>
      <c r="C3" s="100"/>
      <c r="D3" s="103"/>
      <c r="E3" s="103"/>
      <c r="F3" s="367"/>
      <c r="G3" s="367"/>
      <c r="H3" s="367"/>
      <c r="I3" s="367"/>
      <c r="J3" s="367"/>
    </row>
    <row r="4" spans="1:10" ht="18.75" customHeight="1">
      <c r="A4" s="368"/>
      <c r="B4" s="368"/>
      <c r="C4" s="100"/>
      <c r="D4" s="103"/>
      <c r="E4" s="103"/>
      <c r="F4" s="367"/>
      <c r="G4" s="367"/>
      <c r="H4" s="367"/>
      <c r="I4" s="367"/>
      <c r="J4" s="367"/>
    </row>
    <row r="5" spans="1:10" ht="18.75" customHeight="1">
      <c r="A5" s="368"/>
      <c r="B5" s="368"/>
      <c r="C5" s="100"/>
      <c r="D5" s="103"/>
      <c r="E5" s="103"/>
      <c r="F5" s="103"/>
      <c r="G5" s="369"/>
      <c r="H5" s="369"/>
      <c r="I5" s="203"/>
      <c r="J5" s="203"/>
    </row>
    <row r="6" spans="1:10" ht="18.75" customHeight="1">
      <c r="A6" s="101" t="s">
        <v>488</v>
      </c>
      <c r="B6" s="101"/>
      <c r="C6" s="101"/>
      <c r="D6" s="101"/>
      <c r="E6" s="101"/>
      <c r="F6" s="363" t="s">
        <v>380</v>
      </c>
      <c r="G6" s="363"/>
      <c r="H6" s="363"/>
      <c r="I6" s="363"/>
      <c r="J6" s="363"/>
    </row>
    <row r="7" spans="1:10" ht="58.5" customHeight="1">
      <c r="A7" s="364" t="s">
        <v>490</v>
      </c>
      <c r="B7" s="363"/>
      <c r="C7" s="206"/>
      <c r="D7" s="206"/>
      <c r="E7" s="206"/>
      <c r="F7" s="363" t="s">
        <v>261</v>
      </c>
      <c r="G7" s="363"/>
      <c r="H7" s="363"/>
      <c r="I7" s="363"/>
      <c r="J7" s="363"/>
    </row>
    <row r="8" spans="1:10" ht="26.25" customHeight="1">
      <c r="A8" s="365" t="s">
        <v>489</v>
      </c>
      <c r="B8" s="365"/>
      <c r="C8" s="101"/>
      <c r="D8" s="101"/>
      <c r="E8" s="101"/>
      <c r="F8" s="363" t="s">
        <v>381</v>
      </c>
      <c r="G8" s="363"/>
      <c r="H8" s="363"/>
      <c r="I8" s="363"/>
      <c r="J8" s="363"/>
    </row>
    <row r="9" spans="1:10" ht="18.75" customHeight="1">
      <c r="A9" s="371" t="s">
        <v>491</v>
      </c>
      <c r="B9" s="371"/>
      <c r="C9" s="100"/>
      <c r="D9" s="104"/>
      <c r="E9" s="104"/>
      <c r="F9" s="363" t="s">
        <v>382</v>
      </c>
      <c r="G9" s="363"/>
      <c r="H9" s="363"/>
      <c r="I9" s="363"/>
      <c r="J9" s="363"/>
    </row>
    <row r="10" spans="1:10" ht="20.25">
      <c r="A10" s="201" t="s">
        <v>350</v>
      </c>
      <c r="B10" s="202"/>
      <c r="C10" s="100"/>
      <c r="D10" s="104"/>
      <c r="E10" s="104"/>
    </row>
    <row r="11" spans="1:10" s="219" customFormat="1" ht="20.25" customHeight="1">
      <c r="A11" s="217"/>
      <c r="B11" s="218"/>
      <c r="C11" s="100"/>
      <c r="D11" s="104"/>
      <c r="E11" s="104"/>
      <c r="F11" s="101" t="s">
        <v>419</v>
      </c>
      <c r="G11" s="101"/>
    </row>
    <row r="12" spans="1:10" ht="57.75" customHeight="1">
      <c r="A12" s="202"/>
      <c r="B12" s="202"/>
      <c r="C12" s="100"/>
      <c r="D12" s="104"/>
      <c r="E12" s="104"/>
      <c r="F12" s="364" t="s">
        <v>482</v>
      </c>
      <c r="G12" s="364"/>
      <c r="H12" s="364"/>
      <c r="I12" s="364"/>
      <c r="J12" s="364"/>
    </row>
    <row r="13" spans="1:10" s="219" customFormat="1" ht="27" customHeight="1">
      <c r="A13" s="218"/>
      <c r="B13" s="218"/>
      <c r="C13" s="100"/>
      <c r="D13" s="104"/>
      <c r="E13" s="104"/>
      <c r="F13" s="370" t="s">
        <v>487</v>
      </c>
      <c r="G13" s="370"/>
      <c r="H13" s="370"/>
      <c r="I13" s="370"/>
      <c r="J13" s="370"/>
    </row>
    <row r="14" spans="1:10" s="219" customFormat="1" ht="50.25" customHeight="1">
      <c r="A14" s="218"/>
      <c r="B14" s="218"/>
      <c r="C14" s="100"/>
      <c r="D14" s="104"/>
      <c r="E14" s="104"/>
      <c r="F14" s="371" t="s">
        <v>441</v>
      </c>
      <c r="G14" s="371"/>
      <c r="H14" s="371"/>
      <c r="I14" s="371"/>
      <c r="J14" s="371"/>
    </row>
    <row r="15" spans="1:10" ht="20.25" customHeight="1">
      <c r="A15" s="202"/>
      <c r="B15" s="202"/>
      <c r="C15" s="100"/>
      <c r="D15" s="104"/>
      <c r="E15" s="104"/>
      <c r="F15" s="235" t="s">
        <v>350</v>
      </c>
      <c r="G15" s="218"/>
    </row>
    <row r="16" spans="1:10" ht="19.5" customHeight="1">
      <c r="A16" s="202"/>
      <c r="B16" s="202"/>
      <c r="C16" s="100"/>
      <c r="D16" s="104"/>
      <c r="E16" s="104"/>
      <c r="F16" s="101"/>
      <c r="G16" s="203"/>
      <c r="H16" s="201"/>
      <c r="I16" s="201"/>
      <c r="J16" s="201"/>
    </row>
    <row r="17" spans="1:10" ht="19.5" customHeight="1">
      <c r="A17" s="101"/>
      <c r="B17" s="105"/>
      <c r="C17" s="105"/>
      <c r="D17" s="105"/>
      <c r="E17" s="105"/>
      <c r="F17" s="105"/>
      <c r="G17" s="106"/>
      <c r="H17" s="106"/>
      <c r="I17" s="106"/>
      <c r="J17" s="106"/>
    </row>
    <row r="18" spans="1:10" ht="19.5" customHeight="1">
      <c r="A18" s="107"/>
      <c r="B18" s="358"/>
      <c r="C18" s="358"/>
      <c r="D18" s="358"/>
      <c r="E18" s="358"/>
      <c r="F18" s="358"/>
      <c r="G18" s="108"/>
      <c r="H18" s="353" t="s">
        <v>533</v>
      </c>
      <c r="I18" s="353"/>
      <c r="J18" s="196" t="s">
        <v>262</v>
      </c>
    </row>
    <row r="19" spans="1:10" ht="16.5" customHeight="1">
      <c r="A19" s="200" t="s">
        <v>14</v>
      </c>
      <c r="B19" s="361" t="s">
        <v>422</v>
      </c>
      <c r="C19" s="361"/>
      <c r="D19" s="361"/>
      <c r="E19" s="361"/>
      <c r="F19" s="361"/>
      <c r="G19" s="362"/>
      <c r="H19" s="353" t="s">
        <v>145</v>
      </c>
      <c r="I19" s="353"/>
      <c r="J19" s="195">
        <v>41803086</v>
      </c>
    </row>
    <row r="20" spans="1:10" ht="16.5" customHeight="1">
      <c r="A20" s="200" t="s">
        <v>15</v>
      </c>
      <c r="B20" s="352"/>
      <c r="C20" s="352"/>
      <c r="D20" s="352"/>
      <c r="E20" s="352"/>
      <c r="F20" s="352"/>
      <c r="G20" s="108"/>
      <c r="H20" s="353" t="s">
        <v>144</v>
      </c>
      <c r="I20" s="353"/>
      <c r="J20" s="195">
        <v>150</v>
      </c>
    </row>
    <row r="21" spans="1:10" ht="18.75" customHeight="1">
      <c r="A21" s="200" t="s">
        <v>20</v>
      </c>
      <c r="B21" s="352"/>
      <c r="C21" s="352"/>
      <c r="D21" s="352"/>
      <c r="E21" s="352"/>
      <c r="F21" s="352"/>
      <c r="G21" s="108"/>
      <c r="H21" s="353" t="s">
        <v>143</v>
      </c>
      <c r="I21" s="353"/>
      <c r="J21" s="195">
        <v>1210136600</v>
      </c>
    </row>
    <row r="22" spans="1:10" ht="15.75" customHeight="1">
      <c r="A22" s="200" t="s">
        <v>383</v>
      </c>
      <c r="B22" s="354" t="s">
        <v>423</v>
      </c>
      <c r="C22" s="354"/>
      <c r="D22" s="354"/>
      <c r="E22" s="354"/>
      <c r="F22" s="354"/>
      <c r="G22" s="194"/>
      <c r="H22" s="353" t="s">
        <v>9</v>
      </c>
      <c r="I22" s="353"/>
      <c r="J22" s="195">
        <v>1009</v>
      </c>
    </row>
    <row r="23" spans="1:10" ht="18.75" customHeight="1">
      <c r="A23" s="200" t="s">
        <v>17</v>
      </c>
      <c r="B23" s="194"/>
      <c r="C23" s="194"/>
      <c r="D23" s="194"/>
      <c r="E23" s="194"/>
      <c r="F23" s="194"/>
      <c r="G23" s="194"/>
      <c r="H23" s="353" t="s">
        <v>8</v>
      </c>
      <c r="I23" s="353"/>
      <c r="J23" s="195"/>
    </row>
    <row r="24" spans="1:10" ht="44.25" customHeight="1">
      <c r="A24" s="200" t="s">
        <v>16</v>
      </c>
      <c r="B24" s="355" t="s">
        <v>424</v>
      </c>
      <c r="C24" s="355"/>
      <c r="D24" s="355"/>
      <c r="E24" s="355"/>
      <c r="F24" s="355"/>
      <c r="G24" s="356"/>
      <c r="H24" s="353" t="s">
        <v>10</v>
      </c>
      <c r="I24" s="353"/>
      <c r="J24" s="195" t="s">
        <v>425</v>
      </c>
    </row>
    <row r="25" spans="1:10" ht="20.25" customHeight="1">
      <c r="A25" s="357" t="s">
        <v>384</v>
      </c>
      <c r="B25" s="358"/>
      <c r="C25" s="358"/>
      <c r="D25" s="358"/>
      <c r="E25" s="358"/>
      <c r="F25" s="358"/>
      <c r="G25" s="358" t="s">
        <v>207</v>
      </c>
      <c r="H25" s="359"/>
      <c r="I25" s="360"/>
      <c r="J25" s="112"/>
    </row>
    <row r="26" spans="1:10" ht="15.75" customHeight="1">
      <c r="A26" s="200" t="s">
        <v>426</v>
      </c>
      <c r="B26" s="351" t="s">
        <v>427</v>
      </c>
      <c r="C26" s="351"/>
      <c r="D26" s="351"/>
      <c r="E26" s="351"/>
      <c r="F26" s="351"/>
      <c r="G26" s="358" t="s">
        <v>208</v>
      </c>
      <c r="H26" s="359"/>
      <c r="I26" s="360"/>
      <c r="J26" s="112"/>
    </row>
    <row r="27" spans="1:10" ht="15.75" customHeight="1">
      <c r="A27" s="357" t="s">
        <v>428</v>
      </c>
      <c r="B27" s="358"/>
      <c r="C27" s="358"/>
      <c r="D27" s="358"/>
      <c r="E27" s="358"/>
      <c r="F27" s="358"/>
      <c r="G27" s="194"/>
      <c r="H27" s="194"/>
      <c r="I27" s="194"/>
      <c r="J27" s="110"/>
    </row>
    <row r="28" spans="1:10" ht="18.75" customHeight="1">
      <c r="A28" s="200" t="s">
        <v>11</v>
      </c>
      <c r="B28" s="351" t="s">
        <v>429</v>
      </c>
      <c r="C28" s="351"/>
      <c r="D28" s="351"/>
      <c r="E28" s="351"/>
      <c r="F28" s="351"/>
      <c r="G28" s="108"/>
      <c r="H28" s="108"/>
      <c r="I28" s="108"/>
      <c r="J28" s="109"/>
    </row>
    <row r="29" spans="1:10" ht="18" customHeight="1">
      <c r="A29" s="200" t="s">
        <v>12</v>
      </c>
      <c r="B29" s="351"/>
      <c r="C29" s="351"/>
      <c r="D29" s="351"/>
      <c r="E29" s="351"/>
      <c r="F29" s="351"/>
      <c r="G29" s="194"/>
      <c r="H29" s="194"/>
      <c r="I29" s="194"/>
      <c r="J29" s="110"/>
    </row>
    <row r="30" spans="1:10" ht="21" customHeight="1">
      <c r="A30" s="200" t="s">
        <v>13</v>
      </c>
      <c r="B30" s="351" t="s">
        <v>430</v>
      </c>
      <c r="C30" s="351"/>
      <c r="D30" s="351"/>
      <c r="E30" s="351"/>
      <c r="F30" s="351"/>
      <c r="G30" s="108"/>
      <c r="H30" s="108"/>
      <c r="I30" s="108"/>
      <c r="J30" s="109"/>
    </row>
    <row r="31" spans="1:10" ht="20.100000000000001" customHeight="1">
      <c r="A31" s="198"/>
      <c r="B31" s="198"/>
      <c r="C31" s="198"/>
      <c r="D31" s="198"/>
      <c r="E31" s="198"/>
      <c r="F31" s="198"/>
      <c r="G31" s="198"/>
      <c r="H31" s="198"/>
      <c r="I31" s="198"/>
      <c r="J31" s="198"/>
    </row>
    <row r="32" spans="1:10" ht="19.5" customHeight="1">
      <c r="A32" s="204"/>
      <c r="B32" s="198"/>
      <c r="C32" s="199"/>
      <c r="D32" s="198"/>
      <c r="E32" s="198"/>
      <c r="F32" s="198"/>
      <c r="G32" s="198"/>
      <c r="H32" s="198"/>
      <c r="I32" s="198"/>
      <c r="J32" s="198"/>
    </row>
    <row r="33" spans="1:10" s="22" customFormat="1">
      <c r="A33" s="45"/>
      <c r="G33" s="205"/>
      <c r="H33" s="205"/>
      <c r="I33" s="205"/>
      <c r="J33" s="205"/>
    </row>
    <row r="34" spans="1:10" s="22" customFormat="1">
      <c r="A34" s="45"/>
      <c r="G34" s="205"/>
      <c r="H34" s="205"/>
      <c r="I34" s="205"/>
      <c r="J34" s="205"/>
    </row>
    <row r="35" spans="1:10" s="22" customFormat="1">
      <c r="A35" s="45"/>
      <c r="G35" s="205"/>
      <c r="H35" s="205"/>
      <c r="I35" s="205"/>
      <c r="J35" s="205"/>
    </row>
    <row r="36" spans="1:10" s="22" customFormat="1">
      <c r="A36" s="45"/>
      <c r="G36" s="205"/>
      <c r="H36" s="205"/>
      <c r="I36" s="205"/>
      <c r="J36" s="205"/>
    </row>
    <row r="37" spans="1:10" s="22" customFormat="1">
      <c r="A37" s="45"/>
      <c r="G37" s="205"/>
      <c r="H37" s="205"/>
      <c r="I37" s="205"/>
      <c r="J37" s="205"/>
    </row>
    <row r="38" spans="1:10" s="22" customFormat="1">
      <c r="A38" s="45"/>
      <c r="G38" s="205"/>
      <c r="H38" s="205"/>
      <c r="I38" s="205"/>
      <c r="J38" s="205"/>
    </row>
    <row r="39" spans="1:10" s="22" customFormat="1">
      <c r="A39" s="45"/>
      <c r="G39" s="205"/>
      <c r="H39" s="205"/>
      <c r="I39" s="205"/>
      <c r="J39" s="205"/>
    </row>
    <row r="40" spans="1:10" s="22" customFormat="1">
      <c r="A40" s="45"/>
      <c r="G40" s="205"/>
      <c r="H40" s="205"/>
      <c r="I40" s="205"/>
      <c r="J40" s="205"/>
    </row>
    <row r="41" spans="1:10" s="22" customFormat="1">
      <c r="A41" s="45"/>
      <c r="G41" s="205"/>
      <c r="H41" s="205"/>
      <c r="I41" s="205"/>
      <c r="J41" s="205"/>
    </row>
    <row r="42" spans="1:10" s="22" customFormat="1">
      <c r="A42" s="45"/>
      <c r="G42" s="205"/>
      <c r="H42" s="205"/>
      <c r="I42" s="205"/>
      <c r="J42" s="205"/>
    </row>
    <row r="43" spans="1:10" s="22" customFormat="1">
      <c r="A43" s="45"/>
      <c r="G43" s="205"/>
      <c r="H43" s="205"/>
      <c r="I43" s="205"/>
      <c r="J43" s="205"/>
    </row>
    <row r="44" spans="1:10" s="22" customFormat="1">
      <c r="A44" s="45"/>
      <c r="G44" s="205"/>
      <c r="H44" s="205"/>
      <c r="I44" s="205"/>
      <c r="J44" s="205"/>
    </row>
    <row r="45" spans="1:10" s="22" customFormat="1">
      <c r="A45" s="45"/>
      <c r="G45" s="205"/>
      <c r="H45" s="205"/>
      <c r="I45" s="205"/>
      <c r="J45" s="205"/>
    </row>
    <row r="46" spans="1:10" s="22" customFormat="1">
      <c r="A46" s="45"/>
      <c r="G46" s="205"/>
      <c r="H46" s="205"/>
      <c r="I46" s="205"/>
      <c r="J46" s="205"/>
    </row>
    <row r="47" spans="1:10" s="22" customFormat="1">
      <c r="A47" s="45"/>
      <c r="G47" s="205"/>
      <c r="H47" s="205"/>
      <c r="I47" s="205"/>
      <c r="J47" s="205"/>
    </row>
    <row r="48" spans="1:10" s="22" customFormat="1">
      <c r="A48" s="45"/>
      <c r="G48" s="205"/>
      <c r="H48" s="205"/>
      <c r="I48" s="205"/>
      <c r="J48" s="205"/>
    </row>
    <row r="49" spans="1:10" s="22" customFormat="1">
      <c r="A49" s="45"/>
      <c r="G49" s="205"/>
      <c r="H49" s="205"/>
      <c r="I49" s="205"/>
      <c r="J49" s="205"/>
    </row>
    <row r="50" spans="1:10" s="22" customFormat="1">
      <c r="A50" s="45"/>
      <c r="G50" s="205"/>
      <c r="H50" s="205"/>
      <c r="I50" s="205"/>
      <c r="J50" s="205"/>
    </row>
    <row r="51" spans="1:10" s="22" customFormat="1">
      <c r="A51" s="45"/>
      <c r="G51" s="205"/>
      <c r="H51" s="205"/>
      <c r="I51" s="205"/>
      <c r="J51" s="205"/>
    </row>
    <row r="52" spans="1:10" s="22" customFormat="1">
      <c r="A52" s="45"/>
      <c r="G52" s="205"/>
      <c r="H52" s="205"/>
      <c r="I52" s="205"/>
      <c r="J52" s="205"/>
    </row>
    <row r="53" spans="1:10" s="22" customFormat="1">
      <c r="A53" s="45"/>
      <c r="G53" s="205"/>
      <c r="H53" s="205"/>
      <c r="I53" s="205"/>
      <c r="J53" s="205"/>
    </row>
    <row r="54" spans="1:10" s="22" customFormat="1">
      <c r="A54" s="45"/>
      <c r="G54" s="205"/>
      <c r="H54" s="205"/>
      <c r="I54" s="205"/>
      <c r="J54" s="205"/>
    </row>
    <row r="55" spans="1:10" s="22" customFormat="1">
      <c r="A55" s="45"/>
      <c r="G55" s="205"/>
      <c r="H55" s="205"/>
      <c r="I55" s="205"/>
      <c r="J55" s="205"/>
    </row>
    <row r="56" spans="1:10" s="22" customFormat="1">
      <c r="A56" s="45"/>
      <c r="G56" s="205"/>
      <c r="H56" s="205"/>
      <c r="I56" s="205"/>
      <c r="J56" s="205"/>
    </row>
    <row r="57" spans="1:10" s="22" customFormat="1">
      <c r="A57" s="45"/>
      <c r="G57" s="205"/>
      <c r="H57" s="205"/>
      <c r="I57" s="205"/>
      <c r="J57" s="205"/>
    </row>
    <row r="58" spans="1:10" s="22" customFormat="1">
      <c r="A58" s="45"/>
      <c r="G58" s="205"/>
      <c r="H58" s="205"/>
      <c r="I58" s="205"/>
      <c r="J58" s="205"/>
    </row>
    <row r="59" spans="1:10" s="22" customFormat="1">
      <c r="A59" s="45"/>
      <c r="G59" s="205"/>
      <c r="H59" s="205"/>
      <c r="I59" s="205"/>
      <c r="J59" s="205"/>
    </row>
    <row r="60" spans="1:10" s="22" customFormat="1">
      <c r="A60" s="45"/>
      <c r="G60" s="205"/>
      <c r="H60" s="205"/>
      <c r="I60" s="205"/>
      <c r="J60" s="205"/>
    </row>
    <row r="61" spans="1:10" s="22" customFormat="1">
      <c r="A61" s="45"/>
      <c r="G61" s="205"/>
      <c r="H61" s="205"/>
      <c r="I61" s="205"/>
      <c r="J61" s="205"/>
    </row>
    <row r="62" spans="1:10" s="22" customFormat="1">
      <c r="A62" s="45"/>
      <c r="G62" s="205"/>
      <c r="H62" s="205"/>
      <c r="I62" s="205"/>
      <c r="J62" s="205"/>
    </row>
    <row r="63" spans="1:10" s="22" customFormat="1">
      <c r="A63" s="45"/>
      <c r="G63" s="205"/>
      <c r="H63" s="205"/>
      <c r="I63" s="205"/>
      <c r="J63" s="205"/>
    </row>
    <row r="64" spans="1:10" s="22" customFormat="1">
      <c r="A64" s="45"/>
      <c r="G64" s="205"/>
      <c r="H64" s="205"/>
      <c r="I64" s="205"/>
      <c r="J64" s="205"/>
    </row>
    <row r="65" spans="1:10" s="22" customFormat="1">
      <c r="A65" s="45"/>
      <c r="G65" s="205"/>
      <c r="H65" s="205"/>
      <c r="I65" s="205"/>
      <c r="J65" s="205"/>
    </row>
    <row r="66" spans="1:10" s="22" customFormat="1">
      <c r="A66" s="45"/>
      <c r="G66" s="205"/>
      <c r="H66" s="205"/>
      <c r="I66" s="205"/>
      <c r="J66" s="205"/>
    </row>
    <row r="67" spans="1:10" s="22" customFormat="1">
      <c r="A67" s="45"/>
      <c r="G67" s="205"/>
      <c r="H67" s="205"/>
      <c r="I67" s="205"/>
      <c r="J67" s="205"/>
    </row>
    <row r="68" spans="1:10" s="22" customFormat="1">
      <c r="A68" s="45"/>
      <c r="G68" s="205"/>
      <c r="H68" s="205"/>
      <c r="I68" s="205"/>
      <c r="J68" s="205"/>
    </row>
    <row r="69" spans="1:10" s="22" customFormat="1">
      <c r="A69" s="45"/>
      <c r="G69" s="205"/>
      <c r="H69" s="205"/>
      <c r="I69" s="205"/>
      <c r="J69" s="205"/>
    </row>
    <row r="70" spans="1:10" s="22" customFormat="1">
      <c r="A70" s="45"/>
      <c r="G70" s="205"/>
      <c r="H70" s="205"/>
      <c r="I70" s="205"/>
      <c r="J70" s="205"/>
    </row>
    <row r="71" spans="1:10" s="22" customFormat="1">
      <c r="A71" s="45"/>
      <c r="G71" s="205"/>
      <c r="H71" s="205"/>
      <c r="I71" s="205"/>
      <c r="J71" s="205"/>
    </row>
    <row r="72" spans="1:10" s="22" customFormat="1">
      <c r="A72" s="45"/>
      <c r="G72" s="205"/>
      <c r="H72" s="205"/>
      <c r="I72" s="205"/>
      <c r="J72" s="205"/>
    </row>
    <row r="73" spans="1:10" s="22" customFormat="1">
      <c r="A73" s="45"/>
      <c r="G73" s="205"/>
      <c r="H73" s="205"/>
      <c r="I73" s="205"/>
      <c r="J73" s="205"/>
    </row>
    <row r="74" spans="1:10" s="22" customFormat="1">
      <c r="A74" s="45"/>
      <c r="G74" s="205"/>
      <c r="H74" s="205"/>
      <c r="I74" s="205"/>
      <c r="J74" s="205"/>
    </row>
    <row r="75" spans="1:10" s="22" customFormat="1">
      <c r="A75" s="45"/>
      <c r="G75" s="205"/>
      <c r="H75" s="205"/>
      <c r="I75" s="205"/>
      <c r="J75" s="205"/>
    </row>
    <row r="76" spans="1:10" s="22" customFormat="1">
      <c r="A76" s="45"/>
      <c r="G76" s="205"/>
      <c r="H76" s="205"/>
      <c r="I76" s="205"/>
      <c r="J76" s="205"/>
    </row>
    <row r="77" spans="1:10" s="22" customFormat="1">
      <c r="A77" s="45"/>
      <c r="G77" s="205"/>
      <c r="H77" s="205"/>
      <c r="I77" s="205"/>
      <c r="J77" s="205"/>
    </row>
    <row r="78" spans="1:10" s="22" customFormat="1">
      <c r="A78" s="45"/>
      <c r="G78" s="205"/>
      <c r="H78" s="205"/>
      <c r="I78" s="205"/>
      <c r="J78" s="205"/>
    </row>
    <row r="79" spans="1:10" s="22" customFormat="1">
      <c r="A79" s="45"/>
      <c r="G79" s="205"/>
      <c r="H79" s="205"/>
      <c r="I79" s="205"/>
      <c r="J79" s="205"/>
    </row>
    <row r="80" spans="1:10" s="22" customFormat="1">
      <c r="A80" s="45"/>
      <c r="G80" s="205"/>
      <c r="H80" s="205"/>
      <c r="I80" s="205"/>
      <c r="J80" s="205"/>
    </row>
    <row r="81" spans="1:10" s="22" customFormat="1">
      <c r="A81" s="45"/>
      <c r="G81" s="205"/>
      <c r="H81" s="205"/>
      <c r="I81" s="205"/>
      <c r="J81" s="205"/>
    </row>
    <row r="82" spans="1:10" s="22" customFormat="1">
      <c r="A82" s="45"/>
      <c r="G82" s="205"/>
      <c r="H82" s="205"/>
      <c r="I82" s="205"/>
      <c r="J82" s="205"/>
    </row>
    <row r="83" spans="1:10" s="22" customFormat="1">
      <c r="A83" s="45"/>
      <c r="G83" s="205"/>
      <c r="H83" s="205"/>
      <c r="I83" s="205"/>
      <c r="J83" s="205"/>
    </row>
    <row r="84" spans="1:10" s="22" customFormat="1">
      <c r="A84" s="45"/>
      <c r="G84" s="205"/>
      <c r="H84" s="205"/>
      <c r="I84" s="205"/>
      <c r="J84" s="205"/>
    </row>
    <row r="85" spans="1:10" s="22" customFormat="1">
      <c r="A85" s="45"/>
      <c r="G85" s="205"/>
      <c r="H85" s="205"/>
      <c r="I85" s="205"/>
      <c r="J85" s="205"/>
    </row>
    <row r="86" spans="1:10" s="22" customFormat="1">
      <c r="A86" s="45"/>
      <c r="G86" s="205"/>
      <c r="H86" s="205"/>
      <c r="I86" s="205"/>
      <c r="J86" s="205"/>
    </row>
    <row r="87" spans="1:10" s="22" customFormat="1">
      <c r="A87" s="45"/>
      <c r="G87" s="205"/>
      <c r="H87" s="205"/>
      <c r="I87" s="205"/>
      <c r="J87" s="205"/>
    </row>
    <row r="88" spans="1:10" s="22" customFormat="1">
      <c r="A88" s="45"/>
      <c r="G88" s="205"/>
      <c r="H88" s="205"/>
      <c r="I88" s="205"/>
      <c r="J88" s="205"/>
    </row>
    <row r="89" spans="1:10" s="22" customFormat="1">
      <c r="A89" s="45"/>
      <c r="G89" s="205"/>
      <c r="H89" s="205"/>
      <c r="I89" s="205"/>
      <c r="J89" s="205"/>
    </row>
    <row r="90" spans="1:10" s="22" customFormat="1">
      <c r="A90" s="45"/>
      <c r="G90" s="205"/>
      <c r="H90" s="205"/>
      <c r="I90" s="205"/>
      <c r="J90" s="205"/>
    </row>
    <row r="91" spans="1:10" s="22" customFormat="1">
      <c r="A91" s="45"/>
      <c r="G91" s="205"/>
      <c r="H91" s="205"/>
      <c r="I91" s="205"/>
      <c r="J91" s="205"/>
    </row>
    <row r="92" spans="1:10" s="22" customFormat="1">
      <c r="A92" s="45"/>
      <c r="G92" s="205"/>
      <c r="H92" s="205"/>
      <c r="I92" s="205"/>
      <c r="J92" s="205"/>
    </row>
    <row r="93" spans="1:10" s="22" customFormat="1">
      <c r="A93" s="45"/>
      <c r="G93" s="205"/>
      <c r="H93" s="205"/>
      <c r="I93" s="205"/>
      <c r="J93" s="205"/>
    </row>
    <row r="94" spans="1:10" s="22" customFormat="1">
      <c r="A94" s="45"/>
      <c r="G94" s="205"/>
      <c r="H94" s="205"/>
      <c r="I94" s="205"/>
      <c r="J94" s="205"/>
    </row>
    <row r="95" spans="1:10" s="22" customFormat="1">
      <c r="A95" s="45"/>
      <c r="G95" s="205"/>
      <c r="H95" s="205"/>
      <c r="I95" s="205"/>
      <c r="J95" s="205"/>
    </row>
    <row r="96" spans="1:10" s="22" customFormat="1">
      <c r="A96" s="45"/>
      <c r="G96" s="205"/>
      <c r="H96" s="205"/>
      <c r="I96" s="205"/>
      <c r="J96" s="205"/>
    </row>
    <row r="97" spans="1:10" s="22" customFormat="1">
      <c r="A97" s="45"/>
      <c r="G97" s="205"/>
      <c r="H97" s="205"/>
      <c r="I97" s="205"/>
      <c r="J97" s="205"/>
    </row>
    <row r="98" spans="1:10" s="22" customFormat="1">
      <c r="A98" s="45"/>
      <c r="G98" s="205"/>
      <c r="H98" s="205"/>
      <c r="I98" s="205"/>
      <c r="J98" s="205"/>
    </row>
    <row r="99" spans="1:10" s="22" customFormat="1">
      <c r="A99" s="45"/>
      <c r="G99" s="205"/>
      <c r="H99" s="205"/>
      <c r="I99" s="205"/>
      <c r="J99" s="205"/>
    </row>
    <row r="100" spans="1:10" s="22" customFormat="1">
      <c r="A100" s="45"/>
      <c r="G100" s="205"/>
      <c r="H100" s="205"/>
      <c r="I100" s="205"/>
      <c r="J100" s="205"/>
    </row>
    <row r="101" spans="1:10" s="22" customFormat="1">
      <c r="A101" s="45"/>
      <c r="G101" s="205"/>
      <c r="H101" s="205"/>
      <c r="I101" s="205"/>
      <c r="J101" s="205"/>
    </row>
    <row r="102" spans="1:10" s="22" customFormat="1">
      <c r="A102" s="45"/>
      <c r="G102" s="205"/>
      <c r="H102" s="205"/>
      <c r="I102" s="205"/>
      <c r="J102" s="205"/>
    </row>
    <row r="103" spans="1:10" s="22" customFormat="1">
      <c r="A103" s="45"/>
      <c r="G103" s="205"/>
      <c r="H103" s="205"/>
      <c r="I103" s="205"/>
      <c r="J103" s="205"/>
    </row>
    <row r="104" spans="1:10" s="22" customFormat="1">
      <c r="A104" s="45"/>
      <c r="G104" s="205"/>
      <c r="H104" s="205"/>
      <c r="I104" s="205"/>
      <c r="J104" s="205"/>
    </row>
    <row r="105" spans="1:10" s="22" customFormat="1">
      <c r="A105" s="45"/>
      <c r="G105" s="205"/>
      <c r="H105" s="205"/>
      <c r="I105" s="205"/>
      <c r="J105" s="205"/>
    </row>
    <row r="106" spans="1:10" s="22" customFormat="1">
      <c r="A106" s="45"/>
      <c r="G106" s="205"/>
      <c r="H106" s="205"/>
      <c r="I106" s="205"/>
      <c r="J106" s="205"/>
    </row>
    <row r="107" spans="1:10" s="22" customFormat="1">
      <c r="A107" s="45"/>
      <c r="G107" s="205"/>
      <c r="H107" s="205"/>
      <c r="I107" s="205"/>
      <c r="J107" s="205"/>
    </row>
    <row r="108" spans="1:10" s="22" customFormat="1">
      <c r="A108" s="45"/>
      <c r="G108" s="205"/>
      <c r="H108" s="205"/>
      <c r="I108" s="205"/>
      <c r="J108" s="205"/>
    </row>
    <row r="109" spans="1:10" s="22" customFormat="1">
      <c r="A109" s="45"/>
      <c r="G109" s="205"/>
      <c r="H109" s="205"/>
      <c r="I109" s="205"/>
      <c r="J109" s="205"/>
    </row>
    <row r="110" spans="1:10" s="22" customFormat="1">
      <c r="A110" s="45"/>
      <c r="G110" s="205"/>
      <c r="H110" s="205"/>
      <c r="I110" s="205"/>
      <c r="J110" s="205"/>
    </row>
    <row r="111" spans="1:10" s="22" customFormat="1">
      <c r="A111" s="45"/>
      <c r="G111" s="205"/>
      <c r="H111" s="205"/>
      <c r="I111" s="205"/>
      <c r="J111" s="205"/>
    </row>
    <row r="112" spans="1:10" s="22" customFormat="1">
      <c r="A112" s="45"/>
      <c r="G112" s="205"/>
      <c r="H112" s="205"/>
      <c r="I112" s="205"/>
      <c r="J112" s="205"/>
    </row>
    <row r="113" spans="1:10" s="22" customFormat="1">
      <c r="A113" s="45"/>
      <c r="G113" s="205"/>
      <c r="H113" s="205"/>
      <c r="I113" s="205"/>
      <c r="J113" s="205"/>
    </row>
    <row r="114" spans="1:10" s="22" customFormat="1">
      <c r="A114" s="45"/>
      <c r="G114" s="205"/>
      <c r="H114" s="205"/>
      <c r="I114" s="205"/>
      <c r="J114" s="205"/>
    </row>
    <row r="115" spans="1:10" s="22" customFormat="1">
      <c r="A115" s="45"/>
      <c r="G115" s="205"/>
      <c r="H115" s="205"/>
      <c r="I115" s="205"/>
      <c r="J115" s="205"/>
    </row>
    <row r="116" spans="1:10" s="22" customFormat="1">
      <c r="A116" s="45"/>
      <c r="G116" s="205"/>
      <c r="H116" s="205"/>
      <c r="I116" s="205"/>
      <c r="J116" s="205"/>
    </row>
    <row r="117" spans="1:10" s="22" customFormat="1">
      <c r="A117" s="45"/>
      <c r="G117" s="205"/>
      <c r="H117" s="205"/>
      <c r="I117" s="205"/>
      <c r="J117" s="205"/>
    </row>
    <row r="118" spans="1:10" s="22" customFormat="1">
      <c r="A118" s="45"/>
      <c r="G118" s="205"/>
      <c r="H118" s="205"/>
      <c r="I118" s="205"/>
      <c r="J118" s="205"/>
    </row>
    <row r="119" spans="1:10" s="22" customFormat="1">
      <c r="A119" s="45"/>
      <c r="G119" s="205"/>
      <c r="H119" s="205"/>
      <c r="I119" s="205"/>
      <c r="J119" s="205"/>
    </row>
    <row r="120" spans="1:10" s="22" customFormat="1">
      <c r="A120" s="45"/>
      <c r="G120" s="205"/>
      <c r="H120" s="205"/>
      <c r="I120" s="205"/>
      <c r="J120" s="205"/>
    </row>
    <row r="121" spans="1:10" s="22" customFormat="1">
      <c r="A121" s="45"/>
      <c r="G121" s="205"/>
      <c r="H121" s="205"/>
      <c r="I121" s="205"/>
      <c r="J121" s="205"/>
    </row>
    <row r="122" spans="1:10" s="22" customFormat="1">
      <c r="A122" s="45"/>
      <c r="G122" s="205"/>
      <c r="H122" s="205"/>
      <c r="I122" s="205"/>
      <c r="J122" s="205"/>
    </row>
    <row r="123" spans="1:10" s="22" customFormat="1">
      <c r="A123" s="45"/>
      <c r="G123" s="205"/>
      <c r="H123" s="205"/>
      <c r="I123" s="205"/>
      <c r="J123" s="205"/>
    </row>
    <row r="124" spans="1:10" s="22" customFormat="1">
      <c r="A124" s="45"/>
      <c r="G124" s="205"/>
      <c r="H124" s="205"/>
      <c r="I124" s="205"/>
      <c r="J124" s="205"/>
    </row>
    <row r="125" spans="1:10" s="22" customFormat="1">
      <c r="A125" s="45"/>
      <c r="G125" s="205"/>
      <c r="H125" s="205"/>
      <c r="I125" s="205"/>
      <c r="J125" s="205"/>
    </row>
    <row r="126" spans="1:10" s="22" customFormat="1">
      <c r="A126" s="45"/>
      <c r="G126" s="205"/>
      <c r="H126" s="205"/>
      <c r="I126" s="205"/>
      <c r="J126" s="205"/>
    </row>
    <row r="127" spans="1:10" s="22" customFormat="1">
      <c r="A127" s="45"/>
      <c r="G127" s="205"/>
      <c r="H127" s="205"/>
      <c r="I127" s="205"/>
      <c r="J127" s="205"/>
    </row>
    <row r="128" spans="1:10" s="22" customFormat="1">
      <c r="A128" s="45"/>
      <c r="G128" s="205"/>
      <c r="H128" s="205"/>
      <c r="I128" s="205"/>
      <c r="J128" s="205"/>
    </row>
    <row r="129" spans="1:10" s="22" customFormat="1">
      <c r="A129" s="45"/>
      <c r="G129" s="205"/>
      <c r="H129" s="205"/>
      <c r="I129" s="205"/>
      <c r="J129" s="205"/>
    </row>
    <row r="130" spans="1:10" s="22" customFormat="1">
      <c r="A130" s="45"/>
      <c r="G130" s="205"/>
      <c r="H130" s="205"/>
      <c r="I130" s="205"/>
      <c r="J130" s="205"/>
    </row>
    <row r="131" spans="1:10" s="22" customFormat="1">
      <c r="A131" s="45"/>
      <c r="G131" s="205"/>
      <c r="H131" s="205"/>
      <c r="I131" s="205"/>
      <c r="J131" s="205"/>
    </row>
    <row r="132" spans="1:10" s="22" customFormat="1">
      <c r="A132" s="45"/>
      <c r="G132" s="205"/>
      <c r="H132" s="205"/>
      <c r="I132" s="205"/>
      <c r="J132" s="205"/>
    </row>
    <row r="133" spans="1:10" s="22" customFormat="1">
      <c r="A133" s="45"/>
      <c r="G133" s="205"/>
      <c r="H133" s="205"/>
      <c r="I133" s="205"/>
      <c r="J133" s="205"/>
    </row>
    <row r="134" spans="1:10" s="22" customFormat="1">
      <c r="A134" s="45"/>
      <c r="G134" s="205"/>
      <c r="H134" s="205"/>
      <c r="I134" s="205"/>
      <c r="J134" s="205"/>
    </row>
    <row r="135" spans="1:10" s="22" customFormat="1">
      <c r="A135" s="45"/>
      <c r="G135" s="205"/>
      <c r="H135" s="205"/>
      <c r="I135" s="205"/>
      <c r="J135" s="205"/>
    </row>
    <row r="136" spans="1:10" s="22" customFormat="1">
      <c r="A136" s="45"/>
      <c r="G136" s="205"/>
      <c r="H136" s="205"/>
      <c r="I136" s="205"/>
      <c r="J136" s="205"/>
    </row>
    <row r="137" spans="1:10" s="22" customFormat="1">
      <c r="A137" s="45"/>
      <c r="G137" s="205"/>
      <c r="H137" s="205"/>
      <c r="I137" s="205"/>
      <c r="J137" s="205"/>
    </row>
    <row r="138" spans="1:10" s="22" customFormat="1">
      <c r="A138" s="45"/>
      <c r="G138" s="205"/>
      <c r="H138" s="205"/>
      <c r="I138" s="205"/>
      <c r="J138" s="205"/>
    </row>
    <row r="139" spans="1:10" s="22" customFormat="1">
      <c r="A139" s="45"/>
      <c r="G139" s="205"/>
      <c r="H139" s="205"/>
      <c r="I139" s="205"/>
      <c r="J139" s="205"/>
    </row>
    <row r="140" spans="1:10" s="22" customFormat="1">
      <c r="A140" s="45"/>
      <c r="G140" s="205"/>
      <c r="H140" s="205"/>
      <c r="I140" s="205"/>
      <c r="J140" s="205"/>
    </row>
    <row r="141" spans="1:10" s="22" customFormat="1">
      <c r="A141" s="45"/>
      <c r="G141" s="205"/>
      <c r="H141" s="205"/>
      <c r="I141" s="205"/>
      <c r="J141" s="205"/>
    </row>
    <row r="142" spans="1:10" s="22" customFormat="1">
      <c r="A142" s="45"/>
      <c r="G142" s="205"/>
      <c r="H142" s="205"/>
      <c r="I142" s="205"/>
      <c r="J142" s="205"/>
    </row>
    <row r="143" spans="1:10" s="22" customFormat="1">
      <c r="A143" s="45"/>
      <c r="G143" s="205"/>
      <c r="H143" s="205"/>
      <c r="I143" s="205"/>
      <c r="J143" s="205"/>
    </row>
    <row r="144" spans="1:10" s="22" customFormat="1">
      <c r="A144" s="45"/>
      <c r="G144" s="205"/>
      <c r="H144" s="205"/>
      <c r="I144" s="205"/>
      <c r="J144" s="205"/>
    </row>
    <row r="145" spans="1:10" s="22" customFormat="1">
      <c r="A145" s="45"/>
      <c r="G145" s="205"/>
      <c r="H145" s="205"/>
      <c r="I145" s="205"/>
      <c r="J145" s="205"/>
    </row>
    <row r="146" spans="1:10" s="22" customFormat="1">
      <c r="A146" s="45"/>
      <c r="G146" s="205"/>
      <c r="H146" s="205"/>
      <c r="I146" s="205"/>
      <c r="J146" s="205"/>
    </row>
    <row r="147" spans="1:10" s="22" customFormat="1">
      <c r="A147" s="45"/>
      <c r="G147" s="205"/>
      <c r="H147" s="205"/>
      <c r="I147" s="205"/>
      <c r="J147" s="205"/>
    </row>
    <row r="148" spans="1:10" s="22" customFormat="1">
      <c r="A148" s="45"/>
      <c r="G148" s="205"/>
      <c r="H148" s="205"/>
      <c r="I148" s="205"/>
      <c r="J148" s="205"/>
    </row>
    <row r="149" spans="1:10" s="22" customFormat="1">
      <c r="A149" s="45"/>
      <c r="G149" s="205"/>
      <c r="H149" s="205"/>
      <c r="I149" s="205"/>
      <c r="J149" s="205"/>
    </row>
    <row r="150" spans="1:10" s="22" customFormat="1">
      <c r="A150" s="45"/>
      <c r="G150" s="205"/>
      <c r="H150" s="205"/>
      <c r="I150" s="205"/>
      <c r="J150" s="205"/>
    </row>
    <row r="151" spans="1:10" s="22" customFormat="1">
      <c r="A151" s="45"/>
      <c r="G151" s="205"/>
      <c r="H151" s="205"/>
      <c r="I151" s="205"/>
      <c r="J151" s="205"/>
    </row>
    <row r="152" spans="1:10" s="22" customFormat="1">
      <c r="A152" s="45"/>
      <c r="G152" s="205"/>
      <c r="H152" s="205"/>
      <c r="I152" s="205"/>
      <c r="J152" s="205"/>
    </row>
    <row r="153" spans="1:10" s="22" customFormat="1">
      <c r="A153" s="45"/>
      <c r="G153" s="205"/>
      <c r="H153" s="205"/>
      <c r="I153" s="205"/>
      <c r="J153" s="205"/>
    </row>
    <row r="154" spans="1:10" s="22" customFormat="1">
      <c r="A154" s="45"/>
      <c r="G154" s="205"/>
      <c r="H154" s="205"/>
      <c r="I154" s="205"/>
      <c r="J154" s="205"/>
    </row>
    <row r="155" spans="1:10" s="22" customFormat="1">
      <c r="A155" s="45"/>
      <c r="G155" s="205"/>
      <c r="H155" s="205"/>
      <c r="I155" s="205"/>
      <c r="J155" s="205"/>
    </row>
    <row r="156" spans="1:10" s="22" customFormat="1">
      <c r="A156" s="45"/>
      <c r="G156" s="205"/>
      <c r="H156" s="205"/>
      <c r="I156" s="205"/>
      <c r="J156" s="205"/>
    </row>
    <row r="157" spans="1:10" s="22" customFormat="1">
      <c r="A157" s="45"/>
      <c r="G157" s="205"/>
      <c r="H157" s="205"/>
      <c r="I157" s="205"/>
      <c r="J157" s="205"/>
    </row>
    <row r="158" spans="1:10" s="22" customFormat="1">
      <c r="A158" s="45"/>
      <c r="G158" s="205"/>
      <c r="H158" s="205"/>
      <c r="I158" s="205"/>
      <c r="J158" s="205"/>
    </row>
    <row r="159" spans="1:10" s="22" customFormat="1">
      <c r="A159" s="45"/>
      <c r="G159" s="205"/>
      <c r="H159" s="205"/>
      <c r="I159" s="205"/>
      <c r="J159" s="205"/>
    </row>
    <row r="160" spans="1:10" s="22" customFormat="1">
      <c r="A160" s="45"/>
      <c r="G160" s="205"/>
      <c r="H160" s="205"/>
      <c r="I160" s="205"/>
      <c r="J160" s="205"/>
    </row>
    <row r="161" spans="1:10" s="22" customFormat="1">
      <c r="A161" s="45"/>
      <c r="G161" s="205"/>
      <c r="H161" s="205"/>
      <c r="I161" s="205"/>
      <c r="J161" s="205"/>
    </row>
    <row r="162" spans="1:10" s="22" customFormat="1">
      <c r="A162" s="45"/>
      <c r="G162" s="205"/>
      <c r="H162" s="205"/>
      <c r="I162" s="205"/>
      <c r="J162" s="205"/>
    </row>
    <row r="163" spans="1:10" s="22" customFormat="1">
      <c r="A163" s="45"/>
      <c r="G163" s="205"/>
      <c r="H163" s="205"/>
      <c r="I163" s="205"/>
      <c r="J163" s="205"/>
    </row>
    <row r="164" spans="1:10" s="22" customFormat="1">
      <c r="A164" s="45"/>
      <c r="G164" s="205"/>
      <c r="H164" s="205"/>
      <c r="I164" s="205"/>
      <c r="J164" s="205"/>
    </row>
    <row r="165" spans="1:10" s="22" customFormat="1">
      <c r="A165" s="45"/>
      <c r="G165" s="205"/>
      <c r="H165" s="205"/>
      <c r="I165" s="205"/>
      <c r="J165" s="205"/>
    </row>
    <row r="166" spans="1:10" s="22" customFormat="1">
      <c r="A166" s="45"/>
      <c r="G166" s="205"/>
      <c r="H166" s="205"/>
      <c r="I166" s="205"/>
      <c r="J166" s="205"/>
    </row>
    <row r="167" spans="1:10" s="22" customFormat="1">
      <c r="A167" s="45"/>
      <c r="G167" s="205"/>
      <c r="H167" s="205"/>
      <c r="I167" s="205"/>
      <c r="J167" s="205"/>
    </row>
    <row r="168" spans="1:10" s="22" customFormat="1">
      <c r="A168" s="45"/>
      <c r="G168" s="205"/>
      <c r="H168" s="205"/>
      <c r="I168" s="205"/>
      <c r="J168" s="205"/>
    </row>
    <row r="169" spans="1:10" s="22" customFormat="1">
      <c r="A169" s="45"/>
      <c r="G169" s="205"/>
      <c r="H169" s="205"/>
      <c r="I169" s="205"/>
      <c r="J169" s="205"/>
    </row>
    <row r="170" spans="1:10" s="22" customFormat="1">
      <c r="A170" s="45"/>
      <c r="G170" s="205"/>
      <c r="H170" s="205"/>
      <c r="I170" s="205"/>
      <c r="J170" s="205"/>
    </row>
    <row r="171" spans="1:10" s="22" customFormat="1">
      <c r="A171" s="45"/>
      <c r="G171" s="205"/>
      <c r="H171" s="205"/>
      <c r="I171" s="205"/>
      <c r="J171" s="205"/>
    </row>
    <row r="172" spans="1:10" s="22" customFormat="1">
      <c r="A172" s="45"/>
      <c r="G172" s="205"/>
      <c r="H172" s="205"/>
      <c r="I172" s="205"/>
      <c r="J172" s="205"/>
    </row>
    <row r="173" spans="1:10" s="22" customFormat="1">
      <c r="A173" s="45"/>
      <c r="G173" s="205"/>
      <c r="H173" s="205"/>
      <c r="I173" s="205"/>
      <c r="J173" s="205"/>
    </row>
    <row r="174" spans="1:10" s="22" customFormat="1">
      <c r="A174" s="45"/>
      <c r="G174" s="205"/>
      <c r="H174" s="205"/>
      <c r="I174" s="205"/>
      <c r="J174" s="205"/>
    </row>
    <row r="175" spans="1:10" s="22" customFormat="1">
      <c r="A175" s="45"/>
      <c r="G175" s="205"/>
      <c r="H175" s="205"/>
      <c r="I175" s="205"/>
      <c r="J175" s="205"/>
    </row>
    <row r="176" spans="1:10" s="22" customFormat="1">
      <c r="A176" s="45"/>
      <c r="G176" s="205"/>
      <c r="H176" s="205"/>
      <c r="I176" s="205"/>
      <c r="J176" s="205"/>
    </row>
    <row r="177" spans="1:10" s="22" customFormat="1">
      <c r="A177" s="45"/>
      <c r="G177" s="205"/>
      <c r="H177" s="205"/>
      <c r="I177" s="205"/>
      <c r="J177" s="205"/>
    </row>
    <row r="178" spans="1:10" s="22" customFormat="1">
      <c r="A178" s="45"/>
      <c r="G178" s="205"/>
      <c r="H178" s="205"/>
      <c r="I178" s="205"/>
      <c r="J178" s="205"/>
    </row>
    <row r="179" spans="1:10" s="22" customFormat="1">
      <c r="A179" s="45"/>
      <c r="G179" s="205"/>
      <c r="H179" s="205"/>
      <c r="I179" s="205"/>
      <c r="J179" s="205"/>
    </row>
    <row r="180" spans="1:10" s="22" customFormat="1">
      <c r="A180" s="45"/>
      <c r="G180" s="205"/>
      <c r="H180" s="205"/>
      <c r="I180" s="205"/>
      <c r="J180" s="205"/>
    </row>
    <row r="181" spans="1:10" s="22" customFormat="1">
      <c r="A181" s="45"/>
      <c r="G181" s="205"/>
      <c r="H181" s="205"/>
      <c r="I181" s="205"/>
      <c r="J181" s="205"/>
    </row>
    <row r="182" spans="1:10" s="22" customFormat="1">
      <c r="A182" s="45"/>
      <c r="G182" s="205"/>
      <c r="H182" s="205"/>
      <c r="I182" s="205"/>
      <c r="J182" s="205"/>
    </row>
    <row r="183" spans="1:10" s="22" customFormat="1">
      <c r="A183" s="45"/>
      <c r="G183" s="205"/>
      <c r="H183" s="205"/>
      <c r="I183" s="205"/>
      <c r="J183" s="205"/>
    </row>
    <row r="184" spans="1:10" s="22" customFormat="1">
      <c r="A184" s="45"/>
      <c r="G184" s="205"/>
      <c r="H184" s="205"/>
      <c r="I184" s="205"/>
      <c r="J184" s="205"/>
    </row>
    <row r="185" spans="1:10" s="22" customFormat="1">
      <c r="A185" s="45"/>
      <c r="G185" s="205"/>
      <c r="H185" s="205"/>
      <c r="I185" s="205"/>
      <c r="J185" s="205"/>
    </row>
    <row r="186" spans="1:10" s="22" customFormat="1">
      <c r="A186" s="45"/>
      <c r="G186" s="205"/>
      <c r="H186" s="205"/>
      <c r="I186" s="205"/>
      <c r="J186" s="205"/>
    </row>
    <row r="187" spans="1:10" s="22" customFormat="1">
      <c r="A187" s="45"/>
      <c r="G187" s="205"/>
      <c r="H187" s="205"/>
      <c r="I187" s="205"/>
      <c r="J187" s="205"/>
    </row>
    <row r="188" spans="1:10" s="22" customFormat="1">
      <c r="A188" s="45"/>
      <c r="G188" s="205"/>
      <c r="H188" s="205"/>
      <c r="I188" s="205"/>
      <c r="J188" s="205"/>
    </row>
  </sheetData>
  <sheetProtection formatCells="0" formatColumns="0" formatRows="0"/>
  <mergeCells count="37">
    <mergeCell ref="F12:J12"/>
    <mergeCell ref="F13:J13"/>
    <mergeCell ref="F14:J14"/>
    <mergeCell ref="A9:B9"/>
    <mergeCell ref="F9:J9"/>
    <mergeCell ref="A2:B2"/>
    <mergeCell ref="F2:J4"/>
    <mergeCell ref="A3:B3"/>
    <mergeCell ref="A4:B4"/>
    <mergeCell ref="A5:B5"/>
    <mergeCell ref="G5:H5"/>
    <mergeCell ref="F6:J6"/>
    <mergeCell ref="A7:B7"/>
    <mergeCell ref="F7:J7"/>
    <mergeCell ref="A8:B8"/>
    <mergeCell ref="F8:J8"/>
    <mergeCell ref="B18:F18"/>
    <mergeCell ref="H18:I18"/>
    <mergeCell ref="B19:G19"/>
    <mergeCell ref="H19:I19"/>
    <mergeCell ref="B20:F20"/>
    <mergeCell ref="H20:I20"/>
    <mergeCell ref="B29:F29"/>
    <mergeCell ref="B30:F30"/>
    <mergeCell ref="B28:F28"/>
    <mergeCell ref="B21:F21"/>
    <mergeCell ref="H21:I21"/>
    <mergeCell ref="B22:F22"/>
    <mergeCell ref="H22:I22"/>
    <mergeCell ref="H23:I23"/>
    <mergeCell ref="B24:G24"/>
    <mergeCell ref="H24:I24"/>
    <mergeCell ref="A25:F25"/>
    <mergeCell ref="G25:I25"/>
    <mergeCell ref="B26:F26"/>
    <mergeCell ref="G26:I26"/>
    <mergeCell ref="A27:F27"/>
  </mergeCells>
  <pageMargins left="0.25" right="0.25" top="0.75" bottom="0.75" header="0.3" footer="0.3"/>
  <pageSetup paperSize="9" scale="49" orientation="portrait" horizontalDpi="4294967293" r:id="rId1"/>
  <headerFooter alignWithMargins="0">
    <oddHeader xml:space="preserve">&amp;C&amp;"Times New Roman,обычный"&amp;14
&amp;R&amp;"Times New Roman,обычный"&amp;14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229"/>
  <sheetViews>
    <sheetView view="pageBreakPreview" zoomScale="75" zoomScaleNormal="75" zoomScaleSheetLayoutView="75" workbookViewId="0">
      <selection activeCell="E55" sqref="E55"/>
    </sheetView>
  </sheetViews>
  <sheetFormatPr defaultRowHeight="18.75"/>
  <cols>
    <col min="1" max="1" width="53.140625" style="2" customWidth="1"/>
    <col min="2" max="2" width="16.85546875" style="22" customWidth="1"/>
    <col min="3" max="3" width="14.5703125" style="22" customWidth="1"/>
    <col min="4" max="5" width="15.5703125" style="22" customWidth="1"/>
    <col min="6" max="6" width="14.5703125" style="22" customWidth="1"/>
    <col min="7" max="7" width="13.7109375" style="2" customWidth="1"/>
    <col min="8" max="9" width="14.5703125" style="2" customWidth="1"/>
    <col min="10" max="10" width="19.5703125" style="2" customWidth="1"/>
    <col min="11" max="11" width="10" style="2" customWidth="1"/>
    <col min="12" max="12" width="9.5703125" style="2" customWidth="1"/>
    <col min="13" max="14" width="9.140625" style="2"/>
    <col min="15" max="15" width="10.5703125" style="2" customWidth="1"/>
    <col min="16" max="16384" width="9.140625" style="2"/>
  </cols>
  <sheetData>
    <row r="1" spans="1:10" ht="20.100000000000001" customHeight="1">
      <c r="A1" s="98"/>
      <c r="B1" s="98"/>
      <c r="C1" s="98"/>
      <c r="D1" s="98"/>
      <c r="E1" s="98"/>
      <c r="F1" s="98"/>
      <c r="G1" s="98"/>
      <c r="H1" s="98"/>
      <c r="I1" s="98"/>
      <c r="J1" s="98"/>
    </row>
    <row r="2" spans="1:10" ht="19.5" customHeight="1">
      <c r="A2" s="87"/>
      <c r="B2" s="98"/>
      <c r="C2" s="99"/>
      <c r="D2" s="98"/>
      <c r="E2" s="98"/>
      <c r="F2" s="98"/>
      <c r="G2" s="98"/>
      <c r="H2" s="98"/>
      <c r="I2" s="98"/>
      <c r="J2" s="98"/>
    </row>
    <row r="3" spans="1:10">
      <c r="A3" s="380" t="s">
        <v>531</v>
      </c>
      <c r="B3" s="380"/>
      <c r="C3" s="380"/>
      <c r="D3" s="380"/>
      <c r="E3" s="380"/>
      <c r="F3" s="380"/>
      <c r="G3" s="380"/>
      <c r="H3" s="380"/>
      <c r="I3" s="380"/>
      <c r="J3" s="380"/>
    </row>
    <row r="4" spans="1:10" ht="9" customHeight="1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>
      <c r="A5" s="379" t="s">
        <v>221</v>
      </c>
      <c r="B5" s="379"/>
      <c r="C5" s="379"/>
      <c r="D5" s="379"/>
      <c r="E5" s="379"/>
      <c r="F5" s="379"/>
      <c r="G5" s="379"/>
      <c r="H5" s="379"/>
      <c r="I5" s="379"/>
      <c r="J5" s="379"/>
    </row>
    <row r="6" spans="1:10" ht="12" customHeight="1">
      <c r="B6" s="24"/>
      <c r="C6" s="4"/>
      <c r="D6" s="24"/>
      <c r="E6" s="24"/>
      <c r="F6" s="24"/>
      <c r="G6" s="24"/>
      <c r="H6" s="24"/>
      <c r="I6" s="24"/>
      <c r="J6" s="24"/>
    </row>
    <row r="7" spans="1:10" ht="31.5" customHeight="1">
      <c r="A7" s="395" t="s">
        <v>271</v>
      </c>
      <c r="B7" s="396" t="s">
        <v>18</v>
      </c>
      <c r="C7" s="384" t="s">
        <v>496</v>
      </c>
      <c r="D7" s="384" t="s">
        <v>497</v>
      </c>
      <c r="E7" s="396" t="s">
        <v>498</v>
      </c>
      <c r="F7" s="386" t="s">
        <v>532</v>
      </c>
      <c r="G7" s="397" t="s">
        <v>272</v>
      </c>
      <c r="H7" s="398"/>
      <c r="I7" s="398"/>
      <c r="J7" s="399"/>
    </row>
    <row r="8" spans="1:10" ht="54.75" customHeight="1">
      <c r="A8" s="395"/>
      <c r="B8" s="396"/>
      <c r="C8" s="385"/>
      <c r="D8" s="385"/>
      <c r="E8" s="396"/>
      <c r="F8" s="387"/>
      <c r="G8" s="89" t="s">
        <v>265</v>
      </c>
      <c r="H8" s="89" t="s">
        <v>266</v>
      </c>
      <c r="I8" s="89" t="s">
        <v>267</v>
      </c>
      <c r="J8" s="89" t="s">
        <v>358</v>
      </c>
    </row>
    <row r="9" spans="1:10" ht="20.100000000000001" customHeight="1">
      <c r="A9" s="88">
        <v>1</v>
      </c>
      <c r="B9" s="89">
        <v>2</v>
      </c>
      <c r="C9" s="89">
        <v>3</v>
      </c>
      <c r="D9" s="89">
        <v>4</v>
      </c>
      <c r="E9" s="89">
        <v>5</v>
      </c>
      <c r="F9" s="89">
        <v>6</v>
      </c>
      <c r="G9" s="89">
        <v>7</v>
      </c>
      <c r="H9" s="89">
        <v>8</v>
      </c>
      <c r="I9" s="89">
        <v>9</v>
      </c>
      <c r="J9" s="89">
        <v>10</v>
      </c>
    </row>
    <row r="10" spans="1:10" ht="24.95" customHeight="1">
      <c r="A10" s="372" t="s">
        <v>107</v>
      </c>
      <c r="B10" s="373"/>
      <c r="C10" s="373"/>
      <c r="D10" s="373"/>
      <c r="E10" s="373"/>
      <c r="F10" s="373"/>
      <c r="G10" s="373"/>
      <c r="H10" s="373"/>
      <c r="I10" s="373"/>
      <c r="J10" s="374"/>
    </row>
    <row r="11" spans="1:10" ht="37.5">
      <c r="A11" s="90" t="s">
        <v>222</v>
      </c>
      <c r="B11" s="223">
        <f>'I. Фін результат'!B7</f>
        <v>1000</v>
      </c>
      <c r="C11" s="179">
        <f>'I. Фін результат'!C7</f>
        <v>0</v>
      </c>
      <c r="D11" s="179">
        <f>'I. Фін результат'!D7</f>
        <v>0</v>
      </c>
      <c r="E11" s="179">
        <f>'I. Фін результат'!I7</f>
        <v>0</v>
      </c>
      <c r="F11" s="179">
        <f>'I. Фін результат'!E7</f>
        <v>0</v>
      </c>
      <c r="G11" s="159">
        <f>ROUND(E11*1.057,0)</f>
        <v>0</v>
      </c>
      <c r="H11" s="159">
        <f>ROUND(G11*1.053,0)</f>
        <v>0</v>
      </c>
      <c r="I11" s="159">
        <f t="shared" ref="I11:J12" si="0">ROUND(H11*1.053,0)</f>
        <v>0</v>
      </c>
      <c r="J11" s="159">
        <f t="shared" si="0"/>
        <v>0</v>
      </c>
    </row>
    <row r="12" spans="1:10" ht="37.5">
      <c r="A12" s="90" t="s">
        <v>190</v>
      </c>
      <c r="B12" s="223">
        <f>'I. Фін результат'!B9</f>
        <v>1010</v>
      </c>
      <c r="C12" s="179">
        <f>'I. Фін результат'!C9</f>
        <v>864</v>
      </c>
      <c r="D12" s="179">
        <f>'I. Фін результат'!D9</f>
        <v>500</v>
      </c>
      <c r="E12" s="179">
        <f>'I. Фін результат'!I9</f>
        <v>20052</v>
      </c>
      <c r="F12" s="179">
        <f>'I. Фін результат'!E9</f>
        <v>10088</v>
      </c>
      <c r="G12" s="159">
        <f>ROUND(E12*1.057,0)</f>
        <v>21195</v>
      </c>
      <c r="H12" s="159">
        <f>ROUND(G12*1.053,0)</f>
        <v>22318</v>
      </c>
      <c r="I12" s="159">
        <f t="shared" si="0"/>
        <v>23501</v>
      </c>
      <c r="J12" s="159">
        <f t="shared" si="0"/>
        <v>24747</v>
      </c>
    </row>
    <row r="13" spans="1:10" ht="20.100000000000001" customHeight="1">
      <c r="A13" s="92" t="s">
        <v>306</v>
      </c>
      <c r="B13" s="223">
        <f>'I. Фін результат'!B22</f>
        <v>1020</v>
      </c>
      <c r="C13" s="179">
        <f>'I. Фін результат'!C22</f>
        <v>-864</v>
      </c>
      <c r="D13" s="179">
        <f>'I. Фін результат'!D22</f>
        <v>-500</v>
      </c>
      <c r="E13" s="179">
        <f>'I. Фін результат'!I22</f>
        <v>-20052</v>
      </c>
      <c r="F13" s="179">
        <f>'I. Фін результат'!E22</f>
        <v>-10088</v>
      </c>
      <c r="G13" s="179">
        <f>G11-G12</f>
        <v>-21195</v>
      </c>
      <c r="H13" s="179">
        <f>H11-H12</f>
        <v>-22318</v>
      </c>
      <c r="I13" s="179">
        <f>I11-I12</f>
        <v>-23501</v>
      </c>
      <c r="J13" s="179">
        <f>J11-J12</f>
        <v>-24747</v>
      </c>
    </row>
    <row r="14" spans="1:10" ht="20.100000000000001" customHeight="1">
      <c r="A14" s="90" t="s">
        <v>155</v>
      </c>
      <c r="B14" s="223">
        <f>'I. Фін результат'!B27</f>
        <v>1040</v>
      </c>
      <c r="C14" s="179">
        <f>'I. Фін результат'!C27</f>
        <v>2780</v>
      </c>
      <c r="D14" s="179">
        <f>'I. Фін результат'!D27</f>
        <v>4010</v>
      </c>
      <c r="E14" s="179">
        <f>'I. Фін результат'!I27</f>
        <v>2311</v>
      </c>
      <c r="F14" s="179">
        <f>'I. Фін результат'!E27</f>
        <v>3599</v>
      </c>
      <c r="G14" s="159">
        <f>ROUND(E14*1.057,0)</f>
        <v>2443</v>
      </c>
      <c r="H14" s="159">
        <f>ROUND(G14*1.053,0)</f>
        <v>2572</v>
      </c>
      <c r="I14" s="159">
        <f t="shared" ref="I14:J16" si="1">ROUND(H14*1.053,0)</f>
        <v>2708</v>
      </c>
      <c r="J14" s="159">
        <f t="shared" si="1"/>
        <v>2852</v>
      </c>
    </row>
    <row r="15" spans="1:10" ht="20.100000000000001" customHeight="1">
      <c r="A15" s="90" t="s">
        <v>152</v>
      </c>
      <c r="B15" s="223">
        <f>'I. Фін результат'!B55</f>
        <v>1070</v>
      </c>
      <c r="C15" s="179">
        <f>'I. Фін результат'!C55</f>
        <v>0</v>
      </c>
      <c r="D15" s="179">
        <f>'I. Фін результат'!D55</f>
        <v>0</v>
      </c>
      <c r="E15" s="179">
        <f>'I. Фін результат'!I55</f>
        <v>0</v>
      </c>
      <c r="F15" s="179">
        <f>'I. Фін результат'!E55</f>
        <v>0</v>
      </c>
      <c r="G15" s="159">
        <f>ROUND(E15*1.057,0)</f>
        <v>0</v>
      </c>
      <c r="H15" s="159">
        <f>ROUND(G15*1.053,0)</f>
        <v>0</v>
      </c>
      <c r="I15" s="159">
        <f t="shared" ref="I15:J15" si="2">ROUND(H15*1.053,0)</f>
        <v>0</v>
      </c>
      <c r="J15" s="159">
        <f t="shared" si="2"/>
        <v>0</v>
      </c>
    </row>
    <row r="16" spans="1:10" ht="20.100000000000001" customHeight="1">
      <c r="A16" s="90" t="s">
        <v>156</v>
      </c>
      <c r="B16" s="223">
        <f>'I. Фін результат'!B94</f>
        <v>1300</v>
      </c>
      <c r="C16" s="179">
        <f>'I. Фін результат'!C94</f>
        <v>354</v>
      </c>
      <c r="D16" s="179">
        <f>'I. Фін результат'!D94</f>
        <v>0</v>
      </c>
      <c r="E16" s="179">
        <f>'I. Фін результат'!I94</f>
        <v>0</v>
      </c>
      <c r="F16" s="179">
        <f>'I. Фін результат'!E94</f>
        <v>-320</v>
      </c>
      <c r="G16" s="159">
        <f>ROUND(E16*1.057,0)</f>
        <v>0</v>
      </c>
      <c r="H16" s="159">
        <f>ROUND(G16*1.053,0)</f>
        <v>0</v>
      </c>
      <c r="I16" s="159">
        <f t="shared" si="1"/>
        <v>0</v>
      </c>
      <c r="J16" s="159">
        <f t="shared" si="1"/>
        <v>0</v>
      </c>
    </row>
    <row r="17" spans="1:10" ht="37.5">
      <c r="A17" s="93" t="s">
        <v>4</v>
      </c>
      <c r="B17" s="223">
        <f>'I. Фін результат'!B76</f>
        <v>1100</v>
      </c>
      <c r="C17" s="179">
        <f>'I. Фін результат'!C76</f>
        <v>-3290</v>
      </c>
      <c r="D17" s="179">
        <f>'I. Фін результат'!D76</f>
        <v>-4510</v>
      </c>
      <c r="E17" s="179">
        <f>'I. Фін результат'!I76</f>
        <v>-22363</v>
      </c>
      <c r="F17" s="179">
        <f>'I. Фін результат'!E76</f>
        <v>-14007</v>
      </c>
      <c r="G17" s="179">
        <f>G13-G14-G15+G16</f>
        <v>-23638</v>
      </c>
      <c r="H17" s="179">
        <f>H13-H14-H15+H16</f>
        <v>-24890</v>
      </c>
      <c r="I17" s="179">
        <f>I13-I14-I15+I16</f>
        <v>-26209</v>
      </c>
      <c r="J17" s="179">
        <f>J13-J14-J15+J16</f>
        <v>-27599</v>
      </c>
    </row>
    <row r="18" spans="1:10" ht="20.100000000000001" customHeight="1">
      <c r="A18" s="93" t="s">
        <v>157</v>
      </c>
      <c r="B18" s="223">
        <f>'I. Фін результат'!B105</f>
        <v>1410</v>
      </c>
      <c r="C18" s="179">
        <f>'I. Фін результат'!C105</f>
        <v>-2930</v>
      </c>
      <c r="D18" s="179">
        <f>'I. Фін результат'!D105</f>
        <v>-4000</v>
      </c>
      <c r="E18" s="179">
        <f>'I. Фін результат'!I105</f>
        <v>-18560</v>
      </c>
      <c r="F18" s="179">
        <f>'I. Фін результат'!E105</f>
        <v>-10250</v>
      </c>
      <c r="G18" s="159">
        <f>ROUND(E18*1.057,0)</f>
        <v>-19618</v>
      </c>
      <c r="H18" s="159">
        <f>ROUND(G18*1.053,0)</f>
        <v>-20658</v>
      </c>
      <c r="I18" s="159">
        <f t="shared" ref="I18:J18" si="3">ROUND(H18*1.053,0)</f>
        <v>-21753</v>
      </c>
      <c r="J18" s="159">
        <f t="shared" si="3"/>
        <v>-22906</v>
      </c>
    </row>
    <row r="19" spans="1:10" ht="20.100000000000001" customHeight="1">
      <c r="A19" s="94" t="s">
        <v>243</v>
      </c>
      <c r="B19" s="223">
        <f>' V. Коефіцієнти'!B8</f>
        <v>5010</v>
      </c>
      <c r="C19" s="252" t="e">
        <f>' V. Коефіцієнти'!D8</f>
        <v>#DIV/0!</v>
      </c>
      <c r="D19" s="252"/>
      <c r="E19" s="252"/>
      <c r="F19" s="252"/>
      <c r="G19" s="252">
        <f>' V. Коефіцієнти'!H8</f>
        <v>0</v>
      </c>
      <c r="H19" s="252">
        <f>' V. Коефіцієнти'!I8</f>
        <v>0</v>
      </c>
      <c r="I19" s="252">
        <f>' V. Коефіцієнти'!J8</f>
        <v>0</v>
      </c>
      <c r="J19" s="252">
        <f>' V. Коефіцієнти'!K8</f>
        <v>0</v>
      </c>
    </row>
    <row r="20" spans="1:10" ht="37.5">
      <c r="A20" s="94" t="s">
        <v>158</v>
      </c>
      <c r="B20" s="223">
        <f>'I. Фін результат'!B95</f>
        <v>1310</v>
      </c>
      <c r="C20" s="179">
        <f>'I. Фін результат'!C95</f>
        <v>0</v>
      </c>
      <c r="D20" s="179">
        <f>'I. Фін результат'!D95</f>
        <v>0</v>
      </c>
      <c r="E20" s="179">
        <f>'I. Фін результат'!I95</f>
        <v>0</v>
      </c>
      <c r="F20" s="179">
        <f>'I. Фін результат'!E95</f>
        <v>0</v>
      </c>
      <c r="G20" s="159">
        <f>ROUND(E20*1.057,0)</f>
        <v>0</v>
      </c>
      <c r="H20" s="159">
        <f>ROUND(G20*1.053,0)</f>
        <v>0</v>
      </c>
      <c r="I20" s="159">
        <f t="shared" ref="I20:J21" si="4">ROUND(H20*1.053,0)</f>
        <v>0</v>
      </c>
      <c r="J20" s="159">
        <f t="shared" si="4"/>
        <v>0</v>
      </c>
    </row>
    <row r="21" spans="1:10" ht="20.100000000000001" customHeight="1">
      <c r="A21" s="90" t="s">
        <v>248</v>
      </c>
      <c r="B21" s="223">
        <f>'I. Фін результат'!B96</f>
        <v>1320</v>
      </c>
      <c r="C21" s="179">
        <f>'I. Фін результат'!C96</f>
        <v>0</v>
      </c>
      <c r="D21" s="179">
        <f>'I. Фін результат'!D96</f>
        <v>0</v>
      </c>
      <c r="E21" s="179">
        <f>'I. Фін результат'!I96</f>
        <v>0</v>
      </c>
      <c r="F21" s="179">
        <f>'I. Фін результат'!E96</f>
        <v>422</v>
      </c>
      <c r="G21" s="159">
        <f>ROUND(E21*1.057,0)</f>
        <v>0</v>
      </c>
      <c r="H21" s="159">
        <f>ROUND(G21*1.053,0)</f>
        <v>0</v>
      </c>
      <c r="I21" s="159">
        <f t="shared" si="4"/>
        <v>0</v>
      </c>
      <c r="J21" s="159">
        <f t="shared" si="4"/>
        <v>0</v>
      </c>
    </row>
    <row r="22" spans="1:10" ht="37.5">
      <c r="A22" s="93" t="s">
        <v>105</v>
      </c>
      <c r="B22" s="223">
        <f>'I. Фін результат'!B86</f>
        <v>1170</v>
      </c>
      <c r="C22" s="179">
        <f>'I. Фін результат'!C86</f>
        <v>-3290</v>
      </c>
      <c r="D22" s="179">
        <f>'I. Фін результат'!D86</f>
        <v>-4510</v>
      </c>
      <c r="E22" s="179">
        <f>'I. Фін результат'!I86</f>
        <v>-22363</v>
      </c>
      <c r="F22" s="179">
        <f>'I. Фін результат'!E86</f>
        <v>-13585</v>
      </c>
      <c r="G22" s="179">
        <f>G17+G20+G21</f>
        <v>-23638</v>
      </c>
      <c r="H22" s="179">
        <f>H17+H20+H21</f>
        <v>-24890</v>
      </c>
      <c r="I22" s="179">
        <f>I17+I20+I21</f>
        <v>-26209</v>
      </c>
      <c r="J22" s="179">
        <f>J17+J20+J21</f>
        <v>-27599</v>
      </c>
    </row>
    <row r="23" spans="1:10" ht="20.100000000000001" customHeight="1">
      <c r="A23" s="94" t="s">
        <v>153</v>
      </c>
      <c r="B23" s="223">
        <f>'I. Фін результат'!B87</f>
        <v>1180</v>
      </c>
      <c r="C23" s="179">
        <f>'I. Фін результат'!C87</f>
        <v>0</v>
      </c>
      <c r="D23" s="179">
        <f>'I. Фін результат'!D87</f>
        <v>0</v>
      </c>
      <c r="E23" s="179">
        <f>'I. Фін результат'!I87</f>
        <v>0</v>
      </c>
      <c r="F23" s="179">
        <f>'I. Фін результат'!E87</f>
        <v>0</v>
      </c>
      <c r="G23" s="179">
        <f>IF(G22&gt;0,G22*18%,0)</f>
        <v>0</v>
      </c>
      <c r="H23" s="179">
        <f>IF(H22&gt;0,H22*18%,0)</f>
        <v>0</v>
      </c>
      <c r="I23" s="179">
        <f>IF(I22&gt;0,I22*18%,0)</f>
        <v>0</v>
      </c>
      <c r="J23" s="179">
        <f>IF(J22&gt;0,J22*18%,0)</f>
        <v>0</v>
      </c>
    </row>
    <row r="24" spans="1:10" ht="20.100000000000001" customHeight="1">
      <c r="A24" s="93" t="s">
        <v>244</v>
      </c>
      <c r="B24" s="223">
        <f>'I. Фін результат'!B89</f>
        <v>1200</v>
      </c>
      <c r="C24" s="179">
        <f>'I. Фін результат'!C89</f>
        <v>-3290</v>
      </c>
      <c r="D24" s="179">
        <f>'I. Фін результат'!D89</f>
        <v>-4510</v>
      </c>
      <c r="E24" s="179">
        <f>'I. Фін результат'!I89</f>
        <v>-22363</v>
      </c>
      <c r="F24" s="179">
        <f>'I. Фін результат'!E89</f>
        <v>-13585</v>
      </c>
      <c r="G24" s="179">
        <f>G22-G23</f>
        <v>-23638</v>
      </c>
      <c r="H24" s="179">
        <f>H22-H23</f>
        <v>-24890</v>
      </c>
      <c r="I24" s="179">
        <f>I22-I23</f>
        <v>-26209</v>
      </c>
      <c r="J24" s="179">
        <f>J22-J23</f>
        <v>-27599</v>
      </c>
    </row>
    <row r="25" spans="1:10" ht="20.100000000000001" customHeight="1">
      <c r="A25" s="94" t="s">
        <v>245</v>
      </c>
      <c r="B25" s="223">
        <f>' V. Коефіцієнти'!B11</f>
        <v>5040</v>
      </c>
      <c r="C25" s="252" t="e">
        <f>' V. Коефіцієнти'!D11</f>
        <v>#DIV/0!</v>
      </c>
      <c r="D25" s="252"/>
      <c r="E25" s="252"/>
      <c r="F25" s="252"/>
      <c r="G25" s="253" t="e">
        <f>G24/G11</f>
        <v>#DIV/0!</v>
      </c>
      <c r="H25" s="253" t="e">
        <f>H24/H11</f>
        <v>#DIV/0!</v>
      </c>
      <c r="I25" s="253" t="e">
        <f>I24/I11</f>
        <v>#DIV/0!</v>
      </c>
      <c r="J25" s="253" t="e">
        <f>J24/J11</f>
        <v>#DIV/0!</v>
      </c>
    </row>
    <row r="26" spans="1:10" ht="24.95" customHeight="1">
      <c r="A26" s="392" t="s">
        <v>170</v>
      </c>
      <c r="B26" s="393"/>
      <c r="C26" s="393"/>
      <c r="D26" s="393"/>
      <c r="E26" s="393"/>
      <c r="F26" s="393"/>
      <c r="G26" s="393"/>
      <c r="H26" s="393"/>
      <c r="I26" s="393"/>
      <c r="J26" s="394"/>
    </row>
    <row r="27" spans="1:10" ht="20.100000000000001" customHeight="1">
      <c r="A27" s="230" t="s">
        <v>363</v>
      </c>
      <c r="B27" s="223">
        <f>'ІІ. Розр. з бюджетом'!B19</f>
        <v>2100</v>
      </c>
      <c r="C27" s="179">
        <f>'ІІ. Розр. з бюджетом'!C19</f>
        <v>0</v>
      </c>
      <c r="D27" s="179">
        <f>'ІІ. Розр. з бюджетом'!D19</f>
        <v>0</v>
      </c>
      <c r="E27" s="179">
        <f>'ІІ. Розр. з бюджетом'!I19</f>
        <v>0</v>
      </c>
      <c r="F27" s="179">
        <f>'ІІ. Розр. з бюджетом'!E19</f>
        <v>0</v>
      </c>
      <c r="G27" s="159">
        <f>IF(G24&gt;0,ROUND(G24*0.66,0),0)</f>
        <v>0</v>
      </c>
      <c r="H27" s="159">
        <f t="shared" ref="H27:J27" si="5">IF(H24&gt;0,ROUND(H24*0.66,0),0)</f>
        <v>0</v>
      </c>
      <c r="I27" s="159">
        <f t="shared" si="5"/>
        <v>0</v>
      </c>
      <c r="J27" s="159">
        <f t="shared" si="5"/>
        <v>0</v>
      </c>
    </row>
    <row r="28" spans="1:10" ht="20.100000000000001" customHeight="1">
      <c r="A28" s="95" t="s">
        <v>169</v>
      </c>
      <c r="B28" s="223">
        <f>'ІІ. Розр. з бюджетом'!B22</f>
        <v>2110</v>
      </c>
      <c r="C28" s="179">
        <f>'ІІ. Розр. з бюджетом'!C22</f>
        <v>0</v>
      </c>
      <c r="D28" s="179">
        <f>'ІІ. Розр. з бюджетом'!D22</f>
        <v>0</v>
      </c>
      <c r="E28" s="179">
        <f>'ІІ. Розр. з бюджетом'!I22</f>
        <v>0</v>
      </c>
      <c r="F28" s="179">
        <f>'ІІ. Розр. з бюджетом'!E22</f>
        <v>0</v>
      </c>
      <c r="G28" s="179">
        <f>G23</f>
        <v>0</v>
      </c>
      <c r="H28" s="179">
        <f>H23</f>
        <v>0</v>
      </c>
      <c r="I28" s="179">
        <f>I23</f>
        <v>0</v>
      </c>
      <c r="J28" s="179">
        <f>J23</f>
        <v>0</v>
      </c>
    </row>
    <row r="29" spans="1:10" ht="56.25">
      <c r="A29" s="95" t="s">
        <v>359</v>
      </c>
      <c r="B29" s="223" t="s">
        <v>246</v>
      </c>
      <c r="C29" s="179">
        <f>SUM('ІІ. Розр. з бюджетом'!C23,'ІІ. Розр. з бюджетом'!C24)</f>
        <v>0</v>
      </c>
      <c r="D29" s="179">
        <f>SUM('ІІ. Розр. з бюджетом'!D23,'ІІ. Розр. з бюджетом'!D24)</f>
        <v>0</v>
      </c>
      <c r="E29" s="179">
        <f>'ІІ. Розр. з бюджетом'!I23+'ІІ. Розр. з бюджетом'!I24</f>
        <v>0</v>
      </c>
      <c r="F29" s="179">
        <f>SUM('ІІ. Розр. з бюджетом'!E23,'ІІ. Розр. з бюджетом'!E24)</f>
        <v>0</v>
      </c>
      <c r="G29" s="159">
        <f>ROUND(E29*1.057,0)</f>
        <v>0</v>
      </c>
      <c r="H29" s="159">
        <f>ROUND(G29*1.053,0)</f>
        <v>0</v>
      </c>
      <c r="I29" s="159">
        <f t="shared" ref="I29:J29" si="6">ROUND(H29*1.053,0)</f>
        <v>0</v>
      </c>
      <c r="J29" s="159">
        <f t="shared" si="6"/>
        <v>0</v>
      </c>
    </row>
    <row r="30" spans="1:10" ht="56.25">
      <c r="A30" s="230" t="s">
        <v>364</v>
      </c>
      <c r="B30" s="223">
        <f>'ІІ. Розр. з бюджетом'!B25</f>
        <v>2140</v>
      </c>
      <c r="C30" s="179">
        <f>'ІІ. Розр. з бюджетом'!C25</f>
        <v>424.71</v>
      </c>
      <c r="D30" s="179">
        <f>'ІІ. Розр. з бюджетом'!D25</f>
        <v>599.81999999999994</v>
      </c>
      <c r="E30" s="179">
        <f>'ІІ. Розр. з бюджетом'!I25</f>
        <v>691</v>
      </c>
      <c r="F30" s="179">
        <f>'ІІ. Розр. з бюджетом'!E25</f>
        <v>545</v>
      </c>
      <c r="G30" s="159">
        <f t="shared" ref="G30:G31" si="7">ROUND(E30*1.057,0)</f>
        <v>730</v>
      </c>
      <c r="H30" s="159">
        <f t="shared" ref="H30:J30" si="8">ROUND(G30*1.053,0)</f>
        <v>769</v>
      </c>
      <c r="I30" s="159">
        <f t="shared" si="8"/>
        <v>810</v>
      </c>
      <c r="J30" s="159">
        <f t="shared" si="8"/>
        <v>853</v>
      </c>
    </row>
    <row r="31" spans="1:10" ht="39" customHeight="1">
      <c r="A31" s="230" t="s">
        <v>89</v>
      </c>
      <c r="B31" s="223">
        <f>'ІІ. Розр. з бюджетом'!B37</f>
        <v>2150</v>
      </c>
      <c r="C31" s="179">
        <f>'ІІ. Розр. з бюджетом'!C37</f>
        <v>479</v>
      </c>
      <c r="D31" s="179">
        <f>'ІІ. Розр. з бюджетом'!D37</f>
        <v>660</v>
      </c>
      <c r="E31" s="179">
        <f>'ІІ. Розр. з бюджетом'!I37</f>
        <v>767</v>
      </c>
      <c r="F31" s="179">
        <f>'ІІ. Розр. з бюджетом'!E37</f>
        <v>616</v>
      </c>
      <c r="G31" s="159">
        <f t="shared" si="7"/>
        <v>811</v>
      </c>
      <c r="H31" s="159">
        <f t="shared" ref="H31:J31" si="9">ROUND(G31*1.053,0)</f>
        <v>854</v>
      </c>
      <c r="I31" s="159">
        <f t="shared" si="9"/>
        <v>899</v>
      </c>
      <c r="J31" s="159">
        <f t="shared" si="9"/>
        <v>947</v>
      </c>
    </row>
    <row r="32" spans="1:10" ht="20.100000000000001" customHeight="1">
      <c r="A32" s="96" t="s">
        <v>365</v>
      </c>
      <c r="B32" s="223">
        <f>'ІІ. Розр. з бюджетом'!B38</f>
        <v>2200</v>
      </c>
      <c r="C32" s="179">
        <f>'ІІ. Розр. з бюджетом'!C38</f>
        <v>903.71</v>
      </c>
      <c r="D32" s="179">
        <f>'ІІ. Розр. з бюджетом'!D38</f>
        <v>1259.82</v>
      </c>
      <c r="E32" s="179">
        <f>'ІІ. Розр. з бюджетом'!I38</f>
        <v>1458</v>
      </c>
      <c r="F32" s="179">
        <f>'ІІ. Розр. з бюджетом'!E38</f>
        <v>1161</v>
      </c>
      <c r="G32" s="179">
        <f>SUM(G27:G31)</f>
        <v>1541</v>
      </c>
      <c r="H32" s="179">
        <f>SUM(H27:H31)</f>
        <v>1623</v>
      </c>
      <c r="I32" s="179">
        <f>SUM(I27:I31)</f>
        <v>1709</v>
      </c>
      <c r="J32" s="179">
        <f>SUM(J27:J31)</f>
        <v>1800</v>
      </c>
    </row>
    <row r="33" spans="1:10" ht="24.95" customHeight="1">
      <c r="A33" s="392" t="s">
        <v>168</v>
      </c>
      <c r="B33" s="393"/>
      <c r="C33" s="393"/>
      <c r="D33" s="393"/>
      <c r="E33" s="393"/>
      <c r="F33" s="393"/>
      <c r="G33" s="393"/>
      <c r="H33" s="393"/>
      <c r="I33" s="393"/>
      <c r="J33" s="394"/>
    </row>
    <row r="34" spans="1:10" ht="20.100000000000001" customHeight="1">
      <c r="A34" s="96" t="s">
        <v>159</v>
      </c>
      <c r="B34" s="223">
        <f>'ІІІ. Рух грош. коштів'!B80</f>
        <v>3600</v>
      </c>
      <c r="C34" s="179">
        <f>'ІІІ. Рух грош. коштів'!C80</f>
        <v>32000</v>
      </c>
      <c r="D34" s="179">
        <f>'ІІІ. Рух грош. коштів'!D80</f>
        <v>2918</v>
      </c>
      <c r="E34" s="179">
        <f>'ІІІ. Рух грош. коштів'!I80</f>
        <v>563</v>
      </c>
      <c r="F34" s="179">
        <f>'ІІІ. Рух грош. коштів'!E80</f>
        <v>3388</v>
      </c>
      <c r="G34" s="179">
        <f>E39</f>
        <v>3</v>
      </c>
      <c r="H34" s="179">
        <f>G39</f>
        <v>11</v>
      </c>
      <c r="I34" s="179">
        <f>H39</f>
        <v>19</v>
      </c>
      <c r="J34" s="179">
        <f>I39</f>
        <v>27</v>
      </c>
    </row>
    <row r="35" spans="1:10" ht="37.5">
      <c r="A35" s="230" t="s">
        <v>160</v>
      </c>
      <c r="B35" s="223">
        <f>'ІІІ. Рух грош. коштів'!B22</f>
        <v>3090</v>
      </c>
      <c r="C35" s="179">
        <f>'ІІІ. Рух грош. коштів'!C22</f>
        <v>-3264</v>
      </c>
      <c r="D35" s="179">
        <f>'ІІІ. Рух грош. коштів'!D22</f>
        <v>-4000</v>
      </c>
      <c r="E35" s="179">
        <f>'ІІІ. Рух грош. коштів'!I22</f>
        <v>-18560</v>
      </c>
      <c r="F35" s="179">
        <f>'ІІІ. Рух грош. коштів'!E22</f>
        <v>-9693</v>
      </c>
      <c r="G35" s="159">
        <f>ROUND(E35*1.057,0)</f>
        <v>-19618</v>
      </c>
      <c r="H35" s="159">
        <f>ROUND(G35*1.053,0)</f>
        <v>-20658</v>
      </c>
      <c r="I35" s="159">
        <f t="shared" ref="I35:J35" si="10">ROUND(H35*1.053,0)</f>
        <v>-21753</v>
      </c>
      <c r="J35" s="159">
        <f t="shared" si="10"/>
        <v>-22906</v>
      </c>
    </row>
    <row r="36" spans="1:10" ht="37.5">
      <c r="A36" s="230" t="s">
        <v>249</v>
      </c>
      <c r="B36" s="223">
        <f>'ІІІ. Рух грош. коштів'!B50</f>
        <v>3320</v>
      </c>
      <c r="C36" s="179">
        <f>'ІІІ. Рух грош. коштів'!C50</f>
        <v>-32848</v>
      </c>
      <c r="D36" s="179">
        <f>'ІІІ. Рух грош. коштів'!D50</f>
        <v>-45384</v>
      </c>
      <c r="E36" s="179">
        <f>'ІІІ. Рух грош. коштів'!I50</f>
        <v>0</v>
      </c>
      <c r="F36" s="179">
        <f>'ІІІ. Рух грош. коштів'!E50</f>
        <v>-39616</v>
      </c>
      <c r="G36" s="159">
        <f t="shared" ref="G36" si="11">ROUND(E36*1.057,0)</f>
        <v>0</v>
      </c>
      <c r="H36" s="159">
        <f t="shared" ref="H36:J36" si="12">ROUND(G36*1.053,0)</f>
        <v>0</v>
      </c>
      <c r="I36" s="159">
        <f t="shared" si="12"/>
        <v>0</v>
      </c>
      <c r="J36" s="159">
        <f t="shared" si="12"/>
        <v>0</v>
      </c>
    </row>
    <row r="37" spans="1:10" ht="37.5">
      <c r="A37" s="230" t="s">
        <v>161</v>
      </c>
      <c r="B37" s="223">
        <f>'ІІІ. Рух грош. коштів'!B78</f>
        <v>3580</v>
      </c>
      <c r="C37" s="179">
        <f>'ІІІ. Рух грош. коштів'!C78</f>
        <v>7500</v>
      </c>
      <c r="D37" s="179">
        <f>'ІІІ. Рух грош. коштів'!D78</f>
        <v>46484</v>
      </c>
      <c r="E37" s="179">
        <f>'ІІІ. Рух грош. коштів'!I78</f>
        <v>18000</v>
      </c>
      <c r="F37" s="179">
        <f>'ІІІ. Рух грош. коштів'!E78</f>
        <v>46484</v>
      </c>
      <c r="G37" s="159">
        <f>ROUND(E37*1.057,0)+600</f>
        <v>19626</v>
      </c>
      <c r="H37" s="159">
        <f t="shared" ref="H37:J38" si="13">ROUND(G37*1.053,0)</f>
        <v>20666</v>
      </c>
      <c r="I37" s="159">
        <f t="shared" si="13"/>
        <v>21761</v>
      </c>
      <c r="J37" s="159">
        <f t="shared" si="13"/>
        <v>22914</v>
      </c>
    </row>
    <row r="38" spans="1:10" ht="37.5">
      <c r="A38" s="230" t="s">
        <v>185</v>
      </c>
      <c r="B38" s="223">
        <f>'ІІІ. Рух грош. коштів'!B81</f>
        <v>3610</v>
      </c>
      <c r="C38" s="179">
        <f>'ІІІ. Рух грош. коштів'!C81</f>
        <v>0</v>
      </c>
      <c r="D38" s="179">
        <f>'ІІІ. Рух грош. коштів'!D81</f>
        <v>0</v>
      </c>
      <c r="E38" s="179">
        <f>'ІІІ. Рух грош. коштів'!I81</f>
        <v>0</v>
      </c>
      <c r="F38" s="179">
        <f>'ІІІ. Рух грош. коштів'!E81</f>
        <v>0</v>
      </c>
      <c r="G38" s="159">
        <f>ROUND(E38*1.057,0)</f>
        <v>0</v>
      </c>
      <c r="H38" s="159">
        <f>ROUND(G38*1.053,0)</f>
        <v>0</v>
      </c>
      <c r="I38" s="159">
        <f t="shared" si="13"/>
        <v>0</v>
      </c>
      <c r="J38" s="159">
        <f t="shared" si="13"/>
        <v>0</v>
      </c>
    </row>
    <row r="39" spans="1:10" ht="20.100000000000001" customHeight="1">
      <c r="A39" s="96" t="s">
        <v>162</v>
      </c>
      <c r="B39" s="223">
        <f>'ІІІ. Рух грош. коштів'!B82</f>
        <v>3620</v>
      </c>
      <c r="C39" s="179">
        <f>'ІІІ. Рух грош. коштів'!C82</f>
        <v>3388</v>
      </c>
      <c r="D39" s="179">
        <f>'ІІІ. Рух грош. коштів'!D82</f>
        <v>18</v>
      </c>
      <c r="E39" s="179">
        <f>'ІІІ. Рух грош. коштів'!I82</f>
        <v>3</v>
      </c>
      <c r="F39" s="179">
        <f>'ІІІ. Рух грош. коштів'!E82</f>
        <v>563</v>
      </c>
      <c r="G39" s="278">
        <f>G37+G34+G35+G36</f>
        <v>11</v>
      </c>
      <c r="H39" s="278">
        <f>SUM(H34:H38)</f>
        <v>19</v>
      </c>
      <c r="I39" s="278">
        <f>SUM(I34:I38)</f>
        <v>27</v>
      </c>
      <c r="J39" s="278">
        <f>SUM(J34:J38)</f>
        <v>35</v>
      </c>
    </row>
    <row r="40" spans="1:10" ht="24.95" customHeight="1">
      <c r="A40" s="389" t="s">
        <v>229</v>
      </c>
      <c r="B40" s="390"/>
      <c r="C40" s="390"/>
      <c r="D40" s="390"/>
      <c r="E40" s="390"/>
      <c r="F40" s="390"/>
      <c r="G40" s="390"/>
      <c r="H40" s="390"/>
      <c r="I40" s="390"/>
      <c r="J40" s="391"/>
    </row>
    <row r="41" spans="1:10" ht="20.100000000000001" customHeight="1">
      <c r="A41" s="230" t="s">
        <v>228</v>
      </c>
      <c r="B41" s="223">
        <f>'IV. Кап. інвестиції'!B6</f>
        <v>4000</v>
      </c>
      <c r="C41" s="179">
        <f>'IV. Кап. інвестиції'!C6</f>
        <v>32848</v>
      </c>
      <c r="D41" s="179">
        <f>'IV. Кап. інвестиції'!D6</f>
        <v>45384</v>
      </c>
      <c r="E41" s="179">
        <f>'IV. Кап. інвестиції'!I6</f>
        <v>0</v>
      </c>
      <c r="F41" s="179">
        <f>'IV. Кап. інвестиції'!E6</f>
        <v>39616</v>
      </c>
      <c r="G41" s="159">
        <f t="shared" ref="G41" si="14">ROUND(E41*1.055,0)</f>
        <v>0</v>
      </c>
      <c r="H41" s="159">
        <f t="shared" ref="H41:J41" si="15">ROUND(G41*1.052,0)</f>
        <v>0</v>
      </c>
      <c r="I41" s="159">
        <f t="shared" si="15"/>
        <v>0</v>
      </c>
      <c r="J41" s="159">
        <f t="shared" si="15"/>
        <v>0</v>
      </c>
    </row>
    <row r="42" spans="1:10" ht="24.95" customHeight="1">
      <c r="A42" s="381" t="s">
        <v>232</v>
      </c>
      <c r="B42" s="382"/>
      <c r="C42" s="382"/>
      <c r="D42" s="382"/>
      <c r="E42" s="382"/>
      <c r="F42" s="382"/>
      <c r="G42" s="382"/>
      <c r="H42" s="382"/>
      <c r="I42" s="382"/>
      <c r="J42" s="383"/>
    </row>
    <row r="43" spans="1:10" ht="20.100000000000001" customHeight="1">
      <c r="A43" s="230" t="s">
        <v>188</v>
      </c>
      <c r="B43" s="223">
        <f>' V. Коефіцієнти'!B9</f>
        <v>5020</v>
      </c>
      <c r="C43" s="252">
        <f>' V. Коефіцієнти'!D9</f>
        <v>-9.0741098270678763E-2</v>
      </c>
      <c r="D43" s="252">
        <f>' V. Коефіцієнти'!F9</f>
        <v>-0.19569570290554458</v>
      </c>
      <c r="E43" s="252">
        <f>' V. Коефіцієнти'!G9</f>
        <v>-0.34449664946468461</v>
      </c>
      <c r="F43" s="252">
        <f>' V. Коефіцієнти'!F9</f>
        <v>-0.19569570290554458</v>
      </c>
      <c r="G43" s="91" t="s">
        <v>240</v>
      </c>
      <c r="H43" s="91" t="s">
        <v>240</v>
      </c>
      <c r="I43" s="91" t="s">
        <v>240</v>
      </c>
      <c r="J43" s="91" t="s">
        <v>240</v>
      </c>
    </row>
    <row r="44" spans="1:10" ht="37.5">
      <c r="A44" s="230" t="s">
        <v>184</v>
      </c>
      <c r="B44" s="223">
        <f>' V. Коефіцієнти'!B10</f>
        <v>5030</v>
      </c>
      <c r="C44" s="252">
        <f>' V. Коефіцієнти'!D10</f>
        <v>-9.0861388052694086E-2</v>
      </c>
      <c r="D44" s="252">
        <f>' V. Коефіцієнти'!F10</f>
        <v>-0.19658490702554085</v>
      </c>
      <c r="E44" s="252">
        <f>' V. Коефіцієнти'!G10</f>
        <v>-0.34541719440239721</v>
      </c>
      <c r="F44" s="252">
        <f>' V. Коефіцієнти'!F10</f>
        <v>-0.19658490702554085</v>
      </c>
      <c r="G44" s="91" t="s">
        <v>240</v>
      </c>
      <c r="H44" s="91" t="s">
        <v>240</v>
      </c>
      <c r="I44" s="91" t="s">
        <v>240</v>
      </c>
      <c r="J44" s="91" t="s">
        <v>240</v>
      </c>
    </row>
    <row r="45" spans="1:10" ht="20.100000000000001" customHeight="1">
      <c r="A45" s="230" t="s">
        <v>247</v>
      </c>
      <c r="B45" s="223">
        <f>' V. Коефіцієнти'!B14</f>
        <v>5110</v>
      </c>
      <c r="C45" s="252">
        <f>' V. Коефіцієнти'!D14</f>
        <v>754.35416666666663</v>
      </c>
      <c r="D45" s="252">
        <f>' V. Коефіцієнти'!F14</f>
        <v>220.0796178343949</v>
      </c>
      <c r="E45" s="252">
        <f>' V. Коефіцієнти'!G14</f>
        <v>374.23121387283237</v>
      </c>
      <c r="F45" s="252">
        <f>' V. Коефіцієнти'!F14</f>
        <v>220.0796178343949</v>
      </c>
      <c r="G45" s="91" t="s">
        <v>240</v>
      </c>
      <c r="H45" s="91" t="s">
        <v>240</v>
      </c>
      <c r="I45" s="91" t="s">
        <v>240</v>
      </c>
      <c r="J45" s="91" t="s">
        <v>240</v>
      </c>
    </row>
    <row r="46" spans="1:10" ht="24.95" customHeight="1">
      <c r="A46" s="392" t="s">
        <v>231</v>
      </c>
      <c r="B46" s="393"/>
      <c r="C46" s="393"/>
      <c r="D46" s="393"/>
      <c r="E46" s="393"/>
      <c r="F46" s="393"/>
      <c r="G46" s="393"/>
      <c r="H46" s="393"/>
      <c r="I46" s="393"/>
      <c r="J46" s="394"/>
    </row>
    <row r="47" spans="1:10" ht="20.100000000000001" customHeight="1">
      <c r="A47" s="230" t="s">
        <v>163</v>
      </c>
      <c r="B47" s="223">
        <v>6000</v>
      </c>
      <c r="C47" s="188">
        <v>32842</v>
      </c>
      <c r="D47" s="188">
        <v>77784</v>
      </c>
      <c r="E47" s="188">
        <f>F47+E41-'I. Фін результат'!I112-5</f>
        <v>64895</v>
      </c>
      <c r="F47" s="188">
        <v>68703</v>
      </c>
      <c r="G47" s="97" t="s">
        <v>240</v>
      </c>
      <c r="H47" s="97" t="s">
        <v>240</v>
      </c>
      <c r="I47" s="97" t="s">
        <v>240</v>
      </c>
      <c r="J47" s="97" t="s">
        <v>240</v>
      </c>
    </row>
    <row r="48" spans="1:10" ht="20.100000000000001" customHeight="1">
      <c r="A48" s="230" t="s">
        <v>164</v>
      </c>
      <c r="B48" s="223">
        <v>6010</v>
      </c>
      <c r="C48" s="188">
        <v>3415</v>
      </c>
      <c r="D48" s="188">
        <v>18</v>
      </c>
      <c r="E48" s="188">
        <v>20</v>
      </c>
      <c r="F48" s="188">
        <v>716</v>
      </c>
      <c r="G48" s="97" t="s">
        <v>240</v>
      </c>
      <c r="H48" s="97" t="s">
        <v>240</v>
      </c>
      <c r="I48" s="97" t="s">
        <v>240</v>
      </c>
      <c r="J48" s="97" t="s">
        <v>240</v>
      </c>
    </row>
    <row r="49" spans="1:10" ht="37.5">
      <c r="A49" s="230" t="s">
        <v>273</v>
      </c>
      <c r="B49" s="223">
        <v>6020</v>
      </c>
      <c r="C49" s="188">
        <f>'ІІІ. Рух грош. коштів'!C82</f>
        <v>3388</v>
      </c>
      <c r="D49" s="188">
        <f>'ІІІ. Рух грош. коштів'!D82</f>
        <v>18</v>
      </c>
      <c r="E49" s="188">
        <f>'ІІІ. Рух грош. коштів'!I82</f>
        <v>3</v>
      </c>
      <c r="F49" s="188">
        <f>'ІІІ. Рух грош. коштів'!E82</f>
        <v>563</v>
      </c>
      <c r="G49" s="97" t="s">
        <v>240</v>
      </c>
      <c r="H49" s="97" t="s">
        <v>240</v>
      </c>
      <c r="I49" s="97" t="s">
        <v>240</v>
      </c>
      <c r="J49" s="97" t="s">
        <v>240</v>
      </c>
    </row>
    <row r="50" spans="1:10" s="5" customFormat="1" ht="20.100000000000001" customHeight="1">
      <c r="A50" s="96" t="s">
        <v>277</v>
      </c>
      <c r="B50" s="223">
        <v>6030</v>
      </c>
      <c r="C50" s="188">
        <f>C47+C48</f>
        <v>36257</v>
      </c>
      <c r="D50" s="188">
        <f>D47+D48</f>
        <v>77802</v>
      </c>
      <c r="E50" s="188">
        <f>E47+E48</f>
        <v>64915</v>
      </c>
      <c r="F50" s="188">
        <f>F47+F48</f>
        <v>69419</v>
      </c>
      <c r="G50" s="97" t="s">
        <v>240</v>
      </c>
      <c r="H50" s="97" t="s">
        <v>240</v>
      </c>
      <c r="I50" s="97" t="s">
        <v>240</v>
      </c>
      <c r="J50" s="97" t="s">
        <v>240</v>
      </c>
    </row>
    <row r="51" spans="1:10" ht="20.100000000000001" customHeight="1">
      <c r="A51" s="230" t="s">
        <v>186</v>
      </c>
      <c r="B51" s="223">
        <v>6040</v>
      </c>
      <c r="C51" s="188"/>
      <c r="D51" s="188"/>
      <c r="E51" s="188"/>
      <c r="F51" s="188"/>
      <c r="G51" s="97" t="s">
        <v>240</v>
      </c>
      <c r="H51" s="97" t="s">
        <v>240</v>
      </c>
      <c r="I51" s="97" t="s">
        <v>240</v>
      </c>
      <c r="J51" s="97" t="s">
        <v>240</v>
      </c>
    </row>
    <row r="52" spans="1:10" ht="20.100000000000001" customHeight="1">
      <c r="A52" s="230" t="s">
        <v>187</v>
      </c>
      <c r="B52" s="223">
        <v>6050</v>
      </c>
      <c r="C52" s="188">
        <v>48</v>
      </c>
      <c r="D52" s="188"/>
      <c r="E52" s="188">
        <f>E50-E56</f>
        <v>173</v>
      </c>
      <c r="F52" s="188">
        <v>314</v>
      </c>
      <c r="G52" s="97" t="s">
        <v>240</v>
      </c>
      <c r="H52" s="97" t="s">
        <v>240</v>
      </c>
      <c r="I52" s="97" t="s">
        <v>240</v>
      </c>
      <c r="J52" s="97" t="s">
        <v>240</v>
      </c>
    </row>
    <row r="53" spans="1:10" s="5" customFormat="1" ht="20.100000000000001" customHeight="1">
      <c r="A53" s="96" t="s">
        <v>276</v>
      </c>
      <c r="B53" s="223">
        <v>6060</v>
      </c>
      <c r="C53" s="188">
        <f>SUM(C51:C52)</f>
        <v>48</v>
      </c>
      <c r="D53" s="188">
        <f>SUM(D51:D52)</f>
        <v>0</v>
      </c>
      <c r="E53" s="188">
        <f>SUM(E51:E52)</f>
        <v>173</v>
      </c>
      <c r="F53" s="188">
        <f>SUM(F51:F52)</f>
        <v>314</v>
      </c>
      <c r="G53" s="97" t="s">
        <v>240</v>
      </c>
      <c r="H53" s="97" t="s">
        <v>240</v>
      </c>
      <c r="I53" s="97" t="s">
        <v>240</v>
      </c>
      <c r="J53" s="97" t="s">
        <v>240</v>
      </c>
    </row>
    <row r="54" spans="1:10" ht="20.100000000000001" customHeight="1">
      <c r="A54" s="230" t="s">
        <v>274</v>
      </c>
      <c r="B54" s="223">
        <v>6070</v>
      </c>
      <c r="C54" s="188"/>
      <c r="D54" s="188"/>
      <c r="E54" s="188"/>
      <c r="F54" s="188"/>
      <c r="G54" s="97" t="s">
        <v>240</v>
      </c>
      <c r="H54" s="97" t="s">
        <v>240</v>
      </c>
      <c r="I54" s="97" t="s">
        <v>240</v>
      </c>
      <c r="J54" s="97" t="s">
        <v>240</v>
      </c>
    </row>
    <row r="55" spans="1:10" ht="20.100000000000001" customHeight="1">
      <c r="A55" s="230" t="s">
        <v>275</v>
      </c>
      <c r="B55" s="223">
        <v>6080</v>
      </c>
      <c r="C55" s="188"/>
      <c r="D55" s="188"/>
      <c r="E55" s="188"/>
      <c r="F55" s="188"/>
      <c r="G55" s="97" t="s">
        <v>240</v>
      </c>
      <c r="H55" s="97" t="s">
        <v>240</v>
      </c>
      <c r="I55" s="97" t="s">
        <v>240</v>
      </c>
      <c r="J55" s="97" t="s">
        <v>240</v>
      </c>
    </row>
    <row r="56" spans="1:10" s="5" customFormat="1" ht="20.100000000000001" customHeight="1">
      <c r="A56" s="96" t="s">
        <v>165</v>
      </c>
      <c r="B56" s="223">
        <v>6090</v>
      </c>
      <c r="C56" s="188">
        <v>36209</v>
      </c>
      <c r="D56" s="188">
        <v>77802</v>
      </c>
      <c r="E56" s="188">
        <f>F56+'ІІІ. Рух грош. коштів'!I65+'Осн. фін. пок.'!E24</f>
        <v>64742</v>
      </c>
      <c r="F56" s="188">
        <v>69105</v>
      </c>
      <c r="G56" s="97" t="s">
        <v>240</v>
      </c>
      <c r="H56" s="97" t="s">
        <v>240</v>
      </c>
      <c r="I56" s="97" t="s">
        <v>240</v>
      </c>
      <c r="J56" s="97" t="s">
        <v>240</v>
      </c>
    </row>
    <row r="57" spans="1:10" s="5" customFormat="1" ht="24.95" customHeight="1">
      <c r="A57" s="60"/>
      <c r="B57" s="99"/>
      <c r="C57" s="113"/>
      <c r="D57" s="114"/>
      <c r="E57" s="114"/>
      <c r="F57" s="114"/>
      <c r="G57" s="115"/>
      <c r="H57" s="115"/>
      <c r="I57" s="115"/>
      <c r="J57" s="115"/>
    </row>
    <row r="58" spans="1:10" ht="24.95" customHeight="1">
      <c r="A58" s="102"/>
      <c r="B58" s="99"/>
      <c r="C58" s="115"/>
      <c r="D58" s="116"/>
      <c r="E58" s="116"/>
      <c r="F58" s="116"/>
      <c r="G58" s="116"/>
      <c r="H58" s="116"/>
      <c r="I58" s="116"/>
      <c r="J58" s="116"/>
    </row>
    <row r="59" spans="1:10">
      <c r="A59" s="117" t="s">
        <v>483</v>
      </c>
      <c r="B59" s="118"/>
      <c r="C59" s="375" t="s">
        <v>118</v>
      </c>
      <c r="D59" s="376"/>
      <c r="E59" s="376"/>
      <c r="F59" s="376"/>
      <c r="G59" s="119"/>
      <c r="H59" s="388" t="s">
        <v>442</v>
      </c>
      <c r="I59" s="388"/>
      <c r="J59" s="388"/>
    </row>
    <row r="60" spans="1:10" s="1" customFormat="1" ht="21" customHeight="1">
      <c r="A60" s="99" t="s">
        <v>82</v>
      </c>
      <c r="B60" s="98"/>
      <c r="C60" s="377" t="s">
        <v>83</v>
      </c>
      <c r="D60" s="377"/>
      <c r="E60" s="377"/>
      <c r="F60" s="377"/>
      <c r="G60" s="120"/>
      <c r="H60" s="378" t="s">
        <v>114</v>
      </c>
      <c r="I60" s="378"/>
      <c r="J60" s="378"/>
    </row>
    <row r="61" spans="1:10" s="216" customFormat="1">
      <c r="B61" s="22"/>
      <c r="C61" s="22"/>
      <c r="D61" s="22"/>
      <c r="E61" s="22"/>
      <c r="F61" s="22"/>
    </row>
    <row r="62" spans="1:10" s="216" customFormat="1" ht="18.75" customHeight="1">
      <c r="A62" s="117"/>
      <c r="B62" s="118"/>
      <c r="C62" s="375"/>
      <c r="D62" s="376"/>
      <c r="E62" s="376"/>
      <c r="F62" s="376"/>
      <c r="G62" s="119"/>
      <c r="H62" s="377"/>
      <c r="I62" s="377"/>
      <c r="J62" s="377"/>
    </row>
    <row r="63" spans="1:10" s="216" customFormat="1">
      <c r="A63" s="213"/>
      <c r="B63" s="214"/>
      <c r="C63" s="377"/>
      <c r="D63" s="377"/>
      <c r="E63" s="377"/>
      <c r="F63" s="377"/>
      <c r="G63" s="215"/>
      <c r="H63" s="377"/>
      <c r="I63" s="377"/>
      <c r="J63" s="377"/>
    </row>
    <row r="64" spans="1:10">
      <c r="A64" s="45"/>
    </row>
    <row r="65" spans="1:10" s="22" customFormat="1">
      <c r="A65" s="45"/>
      <c r="G65" s="2"/>
      <c r="H65" s="2"/>
      <c r="I65" s="2"/>
      <c r="J65" s="2"/>
    </row>
    <row r="66" spans="1:10" s="22" customFormat="1">
      <c r="A66" s="45"/>
      <c r="G66" s="2"/>
      <c r="H66" s="2"/>
      <c r="I66" s="2"/>
      <c r="J66" s="2"/>
    </row>
    <row r="67" spans="1:10" s="22" customFormat="1">
      <c r="A67" s="45"/>
      <c r="G67" s="2"/>
      <c r="H67" s="2"/>
      <c r="I67" s="2"/>
      <c r="J67" s="2"/>
    </row>
    <row r="68" spans="1:10" s="22" customFormat="1">
      <c r="A68" s="45"/>
      <c r="G68" s="2"/>
      <c r="H68" s="2"/>
      <c r="I68" s="2"/>
      <c r="J68" s="2"/>
    </row>
    <row r="69" spans="1:10" s="22" customFormat="1">
      <c r="A69" s="45"/>
      <c r="G69" s="2"/>
      <c r="H69" s="2"/>
      <c r="I69" s="2"/>
      <c r="J69" s="2"/>
    </row>
    <row r="70" spans="1:10" s="22" customFormat="1">
      <c r="A70" s="45"/>
      <c r="G70" s="2"/>
      <c r="H70" s="2"/>
      <c r="I70" s="2"/>
      <c r="J70" s="2"/>
    </row>
    <row r="71" spans="1:10" s="22" customFormat="1">
      <c r="A71" s="45"/>
      <c r="G71" s="2"/>
      <c r="H71" s="2"/>
      <c r="I71" s="2"/>
      <c r="J71" s="2"/>
    </row>
    <row r="72" spans="1:10" s="22" customFormat="1">
      <c r="A72" s="45"/>
      <c r="G72" s="2"/>
      <c r="H72" s="2"/>
      <c r="I72" s="2"/>
      <c r="J72" s="2"/>
    </row>
    <row r="73" spans="1:10" s="22" customFormat="1">
      <c r="A73" s="45"/>
      <c r="G73" s="2"/>
      <c r="H73" s="2"/>
      <c r="I73" s="2"/>
      <c r="J73" s="2"/>
    </row>
    <row r="74" spans="1:10" s="22" customFormat="1">
      <c r="A74" s="45"/>
      <c r="G74" s="2"/>
      <c r="H74" s="2"/>
      <c r="I74" s="2"/>
      <c r="J74" s="2"/>
    </row>
    <row r="75" spans="1:10" s="22" customFormat="1">
      <c r="A75" s="45"/>
      <c r="G75" s="2"/>
      <c r="H75" s="2"/>
      <c r="I75" s="2"/>
      <c r="J75" s="2"/>
    </row>
    <row r="76" spans="1:10" s="22" customFormat="1">
      <c r="A76" s="45"/>
      <c r="G76" s="2"/>
      <c r="H76" s="2"/>
      <c r="I76" s="2"/>
      <c r="J76" s="2"/>
    </row>
    <row r="77" spans="1:10" s="22" customFormat="1">
      <c r="A77" s="45"/>
      <c r="G77" s="2"/>
      <c r="H77" s="2"/>
      <c r="I77" s="2"/>
      <c r="J77" s="2"/>
    </row>
    <row r="78" spans="1:10" s="22" customFormat="1">
      <c r="A78" s="45"/>
      <c r="G78" s="2"/>
      <c r="H78" s="2"/>
      <c r="I78" s="2"/>
      <c r="J78" s="2"/>
    </row>
    <row r="79" spans="1:10" s="22" customFormat="1">
      <c r="A79" s="45"/>
      <c r="G79" s="2"/>
      <c r="H79" s="2"/>
      <c r="I79" s="2"/>
      <c r="J79" s="2"/>
    </row>
    <row r="80" spans="1:10" s="22" customFormat="1">
      <c r="A80" s="45"/>
      <c r="G80" s="2"/>
      <c r="H80" s="2"/>
      <c r="I80" s="2"/>
      <c r="J80" s="2"/>
    </row>
    <row r="81" spans="1:10" s="22" customFormat="1">
      <c r="A81" s="45"/>
      <c r="G81" s="2"/>
      <c r="H81" s="2"/>
      <c r="I81" s="2"/>
      <c r="J81" s="2"/>
    </row>
    <row r="82" spans="1:10" s="22" customFormat="1">
      <c r="A82" s="45"/>
      <c r="G82" s="2"/>
      <c r="H82" s="2"/>
      <c r="I82" s="2"/>
      <c r="J82" s="2"/>
    </row>
    <row r="83" spans="1:10" s="22" customFormat="1">
      <c r="A83" s="45"/>
      <c r="G83" s="2"/>
      <c r="H83" s="2"/>
      <c r="I83" s="2"/>
      <c r="J83" s="2"/>
    </row>
    <row r="84" spans="1:10" s="22" customFormat="1">
      <c r="A84" s="45"/>
      <c r="G84" s="2"/>
      <c r="H84" s="2"/>
      <c r="I84" s="2"/>
      <c r="J84" s="2"/>
    </row>
    <row r="85" spans="1:10" s="22" customFormat="1">
      <c r="A85" s="45"/>
      <c r="G85" s="2"/>
      <c r="H85" s="2"/>
      <c r="I85" s="2"/>
      <c r="J85" s="2"/>
    </row>
    <row r="86" spans="1:10" s="22" customFormat="1">
      <c r="A86" s="45"/>
      <c r="G86" s="2"/>
      <c r="H86" s="2"/>
      <c r="I86" s="2"/>
      <c r="J86" s="2"/>
    </row>
    <row r="87" spans="1:10" s="22" customFormat="1">
      <c r="A87" s="45"/>
      <c r="G87" s="2"/>
      <c r="H87" s="2"/>
      <c r="I87" s="2"/>
      <c r="J87" s="2"/>
    </row>
    <row r="88" spans="1:10" s="22" customFormat="1">
      <c r="A88" s="45"/>
      <c r="G88" s="2"/>
      <c r="H88" s="2"/>
      <c r="I88" s="2"/>
      <c r="J88" s="2"/>
    </row>
    <row r="89" spans="1:10" s="22" customFormat="1">
      <c r="A89" s="45"/>
      <c r="G89" s="2"/>
      <c r="H89" s="2"/>
      <c r="I89" s="2"/>
      <c r="J89" s="2"/>
    </row>
    <row r="90" spans="1:10" s="22" customFormat="1">
      <c r="A90" s="45"/>
      <c r="G90" s="2"/>
      <c r="H90" s="2"/>
      <c r="I90" s="2"/>
      <c r="J90" s="2"/>
    </row>
    <row r="91" spans="1:10" s="22" customFormat="1">
      <c r="A91" s="45"/>
      <c r="G91" s="2"/>
      <c r="H91" s="2"/>
      <c r="I91" s="2"/>
      <c r="J91" s="2"/>
    </row>
    <row r="92" spans="1:10" s="22" customFormat="1">
      <c r="A92" s="45"/>
      <c r="G92" s="2"/>
      <c r="H92" s="2"/>
      <c r="I92" s="2"/>
      <c r="J92" s="2"/>
    </row>
    <row r="93" spans="1:10" s="22" customFormat="1">
      <c r="A93" s="45"/>
      <c r="G93" s="2"/>
      <c r="H93" s="2"/>
      <c r="I93" s="2"/>
      <c r="J93" s="2"/>
    </row>
    <row r="94" spans="1:10" s="22" customFormat="1">
      <c r="A94" s="45"/>
      <c r="G94" s="2"/>
      <c r="H94" s="2"/>
      <c r="I94" s="2"/>
      <c r="J94" s="2"/>
    </row>
    <row r="95" spans="1:10" s="22" customFormat="1">
      <c r="A95" s="45"/>
      <c r="G95" s="2"/>
      <c r="H95" s="2"/>
      <c r="I95" s="2"/>
      <c r="J95" s="2"/>
    </row>
    <row r="96" spans="1:10" s="22" customFormat="1">
      <c r="A96" s="45"/>
      <c r="G96" s="2"/>
      <c r="H96" s="2"/>
      <c r="I96" s="2"/>
      <c r="J96" s="2"/>
    </row>
    <row r="97" spans="1:10" s="22" customFormat="1">
      <c r="A97" s="45"/>
      <c r="G97" s="2"/>
      <c r="H97" s="2"/>
      <c r="I97" s="2"/>
      <c r="J97" s="2"/>
    </row>
    <row r="98" spans="1:10" s="22" customFormat="1">
      <c r="A98" s="45"/>
      <c r="G98" s="2"/>
      <c r="H98" s="2"/>
      <c r="I98" s="2"/>
      <c r="J98" s="2"/>
    </row>
    <row r="99" spans="1:10" s="22" customFormat="1">
      <c r="A99" s="45"/>
      <c r="G99" s="2"/>
      <c r="H99" s="2"/>
      <c r="I99" s="2"/>
      <c r="J99" s="2"/>
    </row>
    <row r="100" spans="1:10" s="22" customFormat="1">
      <c r="A100" s="45"/>
      <c r="G100" s="2"/>
      <c r="H100" s="2"/>
      <c r="I100" s="2"/>
      <c r="J100" s="2"/>
    </row>
    <row r="101" spans="1:10" s="22" customFormat="1">
      <c r="A101" s="45"/>
      <c r="G101" s="2"/>
      <c r="H101" s="2"/>
      <c r="I101" s="2"/>
      <c r="J101" s="2"/>
    </row>
    <row r="102" spans="1:10" s="22" customFormat="1">
      <c r="A102" s="45"/>
      <c r="G102" s="2"/>
      <c r="H102" s="2"/>
      <c r="I102" s="2"/>
      <c r="J102" s="2"/>
    </row>
    <row r="103" spans="1:10" s="22" customFormat="1">
      <c r="A103" s="45"/>
      <c r="G103" s="2"/>
      <c r="H103" s="2"/>
      <c r="I103" s="2"/>
      <c r="J103" s="2"/>
    </row>
    <row r="104" spans="1:10" s="22" customFormat="1">
      <c r="A104" s="45"/>
      <c r="G104" s="2"/>
      <c r="H104" s="2"/>
      <c r="I104" s="2"/>
      <c r="J104" s="2"/>
    </row>
    <row r="105" spans="1:10" s="22" customFormat="1">
      <c r="A105" s="45"/>
      <c r="G105" s="2"/>
      <c r="H105" s="2"/>
      <c r="I105" s="2"/>
      <c r="J105" s="2"/>
    </row>
    <row r="106" spans="1:10" s="22" customFormat="1">
      <c r="A106" s="45"/>
      <c r="G106" s="2"/>
      <c r="H106" s="2"/>
      <c r="I106" s="2"/>
      <c r="J106" s="2"/>
    </row>
    <row r="107" spans="1:10" s="22" customFormat="1">
      <c r="A107" s="45"/>
      <c r="G107" s="2"/>
      <c r="H107" s="2"/>
      <c r="I107" s="2"/>
      <c r="J107" s="2"/>
    </row>
    <row r="108" spans="1:10" s="22" customFormat="1">
      <c r="A108" s="45"/>
      <c r="G108" s="2"/>
      <c r="H108" s="2"/>
      <c r="I108" s="2"/>
      <c r="J108" s="2"/>
    </row>
    <row r="109" spans="1:10" s="22" customFormat="1">
      <c r="A109" s="45"/>
      <c r="G109" s="2"/>
      <c r="H109" s="2"/>
      <c r="I109" s="2"/>
      <c r="J109" s="2"/>
    </row>
    <row r="110" spans="1:10" s="22" customFormat="1">
      <c r="A110" s="45"/>
      <c r="G110" s="2"/>
      <c r="H110" s="2"/>
      <c r="I110" s="2"/>
      <c r="J110" s="2"/>
    </row>
    <row r="111" spans="1:10" s="22" customFormat="1">
      <c r="A111" s="45"/>
      <c r="G111" s="2"/>
      <c r="H111" s="2"/>
      <c r="I111" s="2"/>
      <c r="J111" s="2"/>
    </row>
    <row r="112" spans="1:10" s="22" customFormat="1">
      <c r="A112" s="45"/>
      <c r="G112" s="2"/>
      <c r="H112" s="2"/>
      <c r="I112" s="2"/>
      <c r="J112" s="2"/>
    </row>
    <row r="113" spans="1:10" s="22" customFormat="1">
      <c r="A113" s="45"/>
      <c r="G113" s="2"/>
      <c r="H113" s="2"/>
      <c r="I113" s="2"/>
      <c r="J113" s="2"/>
    </row>
    <row r="114" spans="1:10" s="22" customFormat="1">
      <c r="A114" s="45"/>
      <c r="G114" s="2"/>
      <c r="H114" s="2"/>
      <c r="I114" s="2"/>
      <c r="J114" s="2"/>
    </row>
    <row r="115" spans="1:10" s="22" customFormat="1">
      <c r="A115" s="45"/>
      <c r="G115" s="2"/>
      <c r="H115" s="2"/>
      <c r="I115" s="2"/>
      <c r="J115" s="2"/>
    </row>
    <row r="116" spans="1:10" s="22" customFormat="1">
      <c r="A116" s="45"/>
      <c r="G116" s="2"/>
      <c r="H116" s="2"/>
      <c r="I116" s="2"/>
      <c r="J116" s="2"/>
    </row>
    <row r="117" spans="1:10" s="22" customFormat="1">
      <c r="A117" s="45"/>
      <c r="G117" s="2"/>
      <c r="H117" s="2"/>
      <c r="I117" s="2"/>
      <c r="J117" s="2"/>
    </row>
    <row r="118" spans="1:10" s="22" customFormat="1">
      <c r="A118" s="45"/>
      <c r="G118" s="2"/>
      <c r="H118" s="2"/>
      <c r="I118" s="2"/>
      <c r="J118" s="2"/>
    </row>
    <row r="119" spans="1:10" s="22" customFormat="1">
      <c r="A119" s="45"/>
      <c r="G119" s="2"/>
      <c r="H119" s="2"/>
      <c r="I119" s="2"/>
      <c r="J119" s="2"/>
    </row>
    <row r="120" spans="1:10" s="22" customFormat="1">
      <c r="A120" s="45"/>
      <c r="G120" s="2"/>
      <c r="H120" s="2"/>
      <c r="I120" s="2"/>
      <c r="J120" s="2"/>
    </row>
    <row r="121" spans="1:10" s="22" customFormat="1">
      <c r="A121" s="45"/>
      <c r="G121" s="2"/>
      <c r="H121" s="2"/>
      <c r="I121" s="2"/>
      <c r="J121" s="2"/>
    </row>
    <row r="122" spans="1:10" s="22" customFormat="1">
      <c r="A122" s="45"/>
      <c r="G122" s="2"/>
      <c r="H122" s="2"/>
      <c r="I122" s="2"/>
      <c r="J122" s="2"/>
    </row>
    <row r="123" spans="1:10" s="22" customFormat="1">
      <c r="A123" s="45"/>
      <c r="G123" s="2"/>
      <c r="H123" s="2"/>
      <c r="I123" s="2"/>
      <c r="J123" s="2"/>
    </row>
    <row r="124" spans="1:10" s="22" customFormat="1">
      <c r="A124" s="45"/>
      <c r="G124" s="2"/>
      <c r="H124" s="2"/>
      <c r="I124" s="2"/>
      <c r="J124" s="2"/>
    </row>
    <row r="125" spans="1:10" s="22" customFormat="1">
      <c r="A125" s="45"/>
      <c r="G125" s="2"/>
      <c r="H125" s="2"/>
      <c r="I125" s="2"/>
      <c r="J125" s="2"/>
    </row>
    <row r="126" spans="1:10" s="22" customFormat="1">
      <c r="A126" s="45"/>
      <c r="G126" s="2"/>
      <c r="H126" s="2"/>
      <c r="I126" s="2"/>
      <c r="J126" s="2"/>
    </row>
    <row r="127" spans="1:10" s="22" customFormat="1">
      <c r="A127" s="45"/>
      <c r="G127" s="2"/>
      <c r="H127" s="2"/>
      <c r="I127" s="2"/>
      <c r="J127" s="2"/>
    </row>
    <row r="128" spans="1:10" s="22" customFormat="1">
      <c r="A128" s="45"/>
      <c r="G128" s="2"/>
      <c r="H128" s="2"/>
      <c r="I128" s="2"/>
      <c r="J128" s="2"/>
    </row>
    <row r="129" spans="1:10" s="22" customFormat="1">
      <c r="A129" s="45"/>
      <c r="G129" s="2"/>
      <c r="H129" s="2"/>
      <c r="I129" s="2"/>
      <c r="J129" s="2"/>
    </row>
    <row r="130" spans="1:10" s="22" customFormat="1">
      <c r="A130" s="45"/>
      <c r="G130" s="2"/>
      <c r="H130" s="2"/>
      <c r="I130" s="2"/>
      <c r="J130" s="2"/>
    </row>
    <row r="131" spans="1:10" s="22" customFormat="1">
      <c r="A131" s="45"/>
      <c r="G131" s="2"/>
      <c r="H131" s="2"/>
      <c r="I131" s="2"/>
      <c r="J131" s="2"/>
    </row>
    <row r="132" spans="1:10" s="22" customFormat="1">
      <c r="A132" s="45"/>
      <c r="G132" s="2"/>
      <c r="H132" s="2"/>
      <c r="I132" s="2"/>
      <c r="J132" s="2"/>
    </row>
    <row r="133" spans="1:10" s="22" customFormat="1">
      <c r="A133" s="45"/>
      <c r="G133" s="2"/>
      <c r="H133" s="2"/>
      <c r="I133" s="2"/>
      <c r="J133" s="2"/>
    </row>
    <row r="134" spans="1:10" s="22" customFormat="1">
      <c r="A134" s="45"/>
      <c r="G134" s="2"/>
      <c r="H134" s="2"/>
      <c r="I134" s="2"/>
      <c r="J134" s="2"/>
    </row>
    <row r="135" spans="1:10" s="22" customFormat="1">
      <c r="A135" s="45"/>
      <c r="G135" s="2"/>
      <c r="H135" s="2"/>
      <c r="I135" s="2"/>
      <c r="J135" s="2"/>
    </row>
    <row r="136" spans="1:10" s="22" customFormat="1">
      <c r="A136" s="45"/>
      <c r="G136" s="2"/>
      <c r="H136" s="2"/>
      <c r="I136" s="2"/>
      <c r="J136" s="2"/>
    </row>
    <row r="137" spans="1:10" s="22" customFormat="1">
      <c r="A137" s="45"/>
      <c r="G137" s="2"/>
      <c r="H137" s="2"/>
      <c r="I137" s="2"/>
      <c r="J137" s="2"/>
    </row>
    <row r="138" spans="1:10" s="22" customFormat="1">
      <c r="A138" s="45"/>
      <c r="G138" s="2"/>
      <c r="H138" s="2"/>
      <c r="I138" s="2"/>
      <c r="J138" s="2"/>
    </row>
    <row r="139" spans="1:10" s="22" customFormat="1">
      <c r="A139" s="45"/>
      <c r="G139" s="2"/>
      <c r="H139" s="2"/>
      <c r="I139" s="2"/>
      <c r="J139" s="2"/>
    </row>
    <row r="140" spans="1:10" s="22" customFormat="1">
      <c r="A140" s="45"/>
      <c r="G140" s="2"/>
      <c r="H140" s="2"/>
      <c r="I140" s="2"/>
      <c r="J140" s="2"/>
    </row>
    <row r="141" spans="1:10" s="22" customFormat="1">
      <c r="A141" s="45"/>
      <c r="G141" s="2"/>
      <c r="H141" s="2"/>
      <c r="I141" s="2"/>
      <c r="J141" s="2"/>
    </row>
    <row r="142" spans="1:10" s="22" customFormat="1">
      <c r="A142" s="45"/>
      <c r="G142" s="2"/>
      <c r="H142" s="2"/>
      <c r="I142" s="2"/>
      <c r="J142" s="2"/>
    </row>
    <row r="143" spans="1:10" s="22" customFormat="1">
      <c r="A143" s="45"/>
      <c r="G143" s="2"/>
      <c r="H143" s="2"/>
      <c r="I143" s="2"/>
      <c r="J143" s="2"/>
    </row>
    <row r="144" spans="1:10" s="22" customFormat="1">
      <c r="A144" s="45"/>
      <c r="G144" s="2"/>
      <c r="H144" s="2"/>
      <c r="I144" s="2"/>
      <c r="J144" s="2"/>
    </row>
    <row r="145" spans="1:10" s="22" customFormat="1">
      <c r="A145" s="45"/>
      <c r="G145" s="2"/>
      <c r="H145" s="2"/>
      <c r="I145" s="2"/>
      <c r="J145" s="2"/>
    </row>
    <row r="146" spans="1:10" s="22" customFormat="1">
      <c r="A146" s="45"/>
      <c r="G146" s="2"/>
      <c r="H146" s="2"/>
      <c r="I146" s="2"/>
      <c r="J146" s="2"/>
    </row>
    <row r="147" spans="1:10" s="22" customFormat="1">
      <c r="A147" s="45"/>
      <c r="G147" s="2"/>
      <c r="H147" s="2"/>
      <c r="I147" s="2"/>
      <c r="J147" s="2"/>
    </row>
    <row r="148" spans="1:10" s="22" customFormat="1">
      <c r="A148" s="45"/>
      <c r="G148" s="2"/>
      <c r="H148" s="2"/>
      <c r="I148" s="2"/>
      <c r="J148" s="2"/>
    </row>
    <row r="149" spans="1:10" s="22" customFormat="1">
      <c r="A149" s="45"/>
      <c r="G149" s="2"/>
      <c r="H149" s="2"/>
      <c r="I149" s="2"/>
      <c r="J149" s="2"/>
    </row>
    <row r="150" spans="1:10" s="22" customFormat="1">
      <c r="A150" s="45"/>
      <c r="G150" s="2"/>
      <c r="H150" s="2"/>
      <c r="I150" s="2"/>
      <c r="J150" s="2"/>
    </row>
    <row r="151" spans="1:10" s="22" customFormat="1">
      <c r="A151" s="45"/>
      <c r="G151" s="2"/>
      <c r="H151" s="2"/>
      <c r="I151" s="2"/>
      <c r="J151" s="2"/>
    </row>
    <row r="152" spans="1:10" s="22" customFormat="1">
      <c r="A152" s="45"/>
      <c r="G152" s="2"/>
      <c r="H152" s="2"/>
      <c r="I152" s="2"/>
      <c r="J152" s="2"/>
    </row>
    <row r="153" spans="1:10" s="22" customFormat="1">
      <c r="A153" s="45"/>
      <c r="G153" s="2"/>
      <c r="H153" s="2"/>
      <c r="I153" s="2"/>
      <c r="J153" s="2"/>
    </row>
    <row r="154" spans="1:10" s="22" customFormat="1">
      <c r="A154" s="45"/>
      <c r="G154" s="2"/>
      <c r="H154" s="2"/>
      <c r="I154" s="2"/>
      <c r="J154" s="2"/>
    </row>
    <row r="155" spans="1:10" s="22" customFormat="1">
      <c r="A155" s="45"/>
      <c r="G155" s="2"/>
      <c r="H155" s="2"/>
      <c r="I155" s="2"/>
      <c r="J155" s="2"/>
    </row>
    <row r="156" spans="1:10" s="22" customFormat="1">
      <c r="A156" s="45"/>
      <c r="G156" s="2"/>
      <c r="H156" s="2"/>
      <c r="I156" s="2"/>
      <c r="J156" s="2"/>
    </row>
    <row r="157" spans="1:10" s="22" customFormat="1">
      <c r="A157" s="45"/>
      <c r="G157" s="2"/>
      <c r="H157" s="2"/>
      <c r="I157" s="2"/>
      <c r="J157" s="2"/>
    </row>
    <row r="158" spans="1:10" s="22" customFormat="1">
      <c r="A158" s="45"/>
      <c r="G158" s="2"/>
      <c r="H158" s="2"/>
      <c r="I158" s="2"/>
      <c r="J158" s="2"/>
    </row>
    <row r="159" spans="1:10" s="22" customFormat="1">
      <c r="A159" s="45"/>
      <c r="G159" s="2"/>
      <c r="H159" s="2"/>
      <c r="I159" s="2"/>
      <c r="J159" s="2"/>
    </row>
    <row r="160" spans="1:10" s="22" customFormat="1">
      <c r="A160" s="45"/>
      <c r="G160" s="2"/>
      <c r="H160" s="2"/>
      <c r="I160" s="2"/>
      <c r="J160" s="2"/>
    </row>
    <row r="161" spans="1:10" s="22" customFormat="1">
      <c r="A161" s="45"/>
      <c r="G161" s="2"/>
      <c r="H161" s="2"/>
      <c r="I161" s="2"/>
      <c r="J161" s="2"/>
    </row>
    <row r="162" spans="1:10" s="22" customFormat="1">
      <c r="A162" s="45"/>
      <c r="G162" s="2"/>
      <c r="H162" s="2"/>
      <c r="I162" s="2"/>
      <c r="J162" s="2"/>
    </row>
    <row r="163" spans="1:10" s="22" customFormat="1">
      <c r="A163" s="45"/>
      <c r="G163" s="2"/>
      <c r="H163" s="2"/>
      <c r="I163" s="2"/>
      <c r="J163" s="2"/>
    </row>
    <row r="164" spans="1:10" s="22" customFormat="1">
      <c r="A164" s="45"/>
      <c r="G164" s="2"/>
      <c r="H164" s="2"/>
      <c r="I164" s="2"/>
      <c r="J164" s="2"/>
    </row>
    <row r="165" spans="1:10" s="22" customFormat="1">
      <c r="A165" s="45"/>
      <c r="G165" s="2"/>
      <c r="H165" s="2"/>
      <c r="I165" s="2"/>
      <c r="J165" s="2"/>
    </row>
    <row r="166" spans="1:10" s="22" customFormat="1">
      <c r="A166" s="45"/>
      <c r="G166" s="2"/>
      <c r="H166" s="2"/>
      <c r="I166" s="2"/>
      <c r="J166" s="2"/>
    </row>
    <row r="167" spans="1:10" s="22" customFormat="1">
      <c r="A167" s="45"/>
      <c r="G167" s="2"/>
      <c r="H167" s="2"/>
      <c r="I167" s="2"/>
      <c r="J167" s="2"/>
    </row>
    <row r="168" spans="1:10" s="22" customFormat="1">
      <c r="A168" s="45"/>
      <c r="G168" s="2"/>
      <c r="H168" s="2"/>
      <c r="I168" s="2"/>
      <c r="J168" s="2"/>
    </row>
    <row r="169" spans="1:10" s="22" customFormat="1">
      <c r="A169" s="45"/>
      <c r="G169" s="2"/>
      <c r="H169" s="2"/>
      <c r="I169" s="2"/>
      <c r="J169" s="2"/>
    </row>
    <row r="170" spans="1:10" s="22" customFormat="1">
      <c r="A170" s="45"/>
      <c r="G170" s="2"/>
      <c r="H170" s="2"/>
      <c r="I170" s="2"/>
      <c r="J170" s="2"/>
    </row>
    <row r="171" spans="1:10" s="22" customFormat="1">
      <c r="A171" s="45"/>
      <c r="G171" s="2"/>
      <c r="H171" s="2"/>
      <c r="I171" s="2"/>
      <c r="J171" s="2"/>
    </row>
    <row r="172" spans="1:10" s="22" customFormat="1">
      <c r="A172" s="45"/>
      <c r="G172" s="2"/>
      <c r="H172" s="2"/>
      <c r="I172" s="2"/>
      <c r="J172" s="2"/>
    </row>
    <row r="173" spans="1:10" s="22" customFormat="1">
      <c r="A173" s="45"/>
      <c r="G173" s="2"/>
      <c r="H173" s="2"/>
      <c r="I173" s="2"/>
      <c r="J173" s="2"/>
    </row>
    <row r="174" spans="1:10" s="22" customFormat="1">
      <c r="A174" s="45"/>
      <c r="G174" s="2"/>
      <c r="H174" s="2"/>
      <c r="I174" s="2"/>
      <c r="J174" s="2"/>
    </row>
    <row r="175" spans="1:10" s="22" customFormat="1">
      <c r="A175" s="45"/>
      <c r="G175" s="2"/>
      <c r="H175" s="2"/>
      <c r="I175" s="2"/>
      <c r="J175" s="2"/>
    </row>
    <row r="176" spans="1:10" s="22" customFormat="1">
      <c r="A176" s="45"/>
      <c r="G176" s="2"/>
      <c r="H176" s="2"/>
      <c r="I176" s="2"/>
      <c r="J176" s="2"/>
    </row>
    <row r="177" spans="1:10" s="22" customFormat="1">
      <c r="A177" s="45"/>
      <c r="G177" s="2"/>
      <c r="H177" s="2"/>
      <c r="I177" s="2"/>
      <c r="J177" s="2"/>
    </row>
    <row r="178" spans="1:10" s="22" customFormat="1">
      <c r="A178" s="45"/>
      <c r="G178" s="2"/>
      <c r="H178" s="2"/>
      <c r="I178" s="2"/>
      <c r="J178" s="2"/>
    </row>
    <row r="179" spans="1:10" s="22" customFormat="1">
      <c r="A179" s="45"/>
      <c r="G179" s="2"/>
      <c r="H179" s="2"/>
      <c r="I179" s="2"/>
      <c r="J179" s="2"/>
    </row>
    <row r="180" spans="1:10" s="22" customFormat="1">
      <c r="A180" s="45"/>
      <c r="G180" s="2"/>
      <c r="H180" s="2"/>
      <c r="I180" s="2"/>
      <c r="J180" s="2"/>
    </row>
    <row r="181" spans="1:10" s="22" customFormat="1">
      <c r="A181" s="45"/>
      <c r="G181" s="2"/>
      <c r="H181" s="2"/>
      <c r="I181" s="2"/>
      <c r="J181" s="2"/>
    </row>
    <row r="182" spans="1:10" s="22" customFormat="1">
      <c r="A182" s="45"/>
      <c r="G182" s="2"/>
      <c r="H182" s="2"/>
      <c r="I182" s="2"/>
      <c r="J182" s="2"/>
    </row>
    <row r="183" spans="1:10" s="22" customFormat="1">
      <c r="A183" s="45"/>
      <c r="G183" s="2"/>
      <c r="H183" s="2"/>
      <c r="I183" s="2"/>
      <c r="J183" s="2"/>
    </row>
    <row r="184" spans="1:10" s="22" customFormat="1">
      <c r="A184" s="45"/>
      <c r="G184" s="2"/>
      <c r="H184" s="2"/>
      <c r="I184" s="2"/>
      <c r="J184" s="2"/>
    </row>
    <row r="185" spans="1:10" s="22" customFormat="1">
      <c r="A185" s="45"/>
      <c r="G185" s="2"/>
      <c r="H185" s="2"/>
      <c r="I185" s="2"/>
      <c r="J185" s="2"/>
    </row>
    <row r="186" spans="1:10" s="22" customFormat="1">
      <c r="A186" s="45"/>
      <c r="G186" s="2"/>
      <c r="H186" s="2"/>
      <c r="I186" s="2"/>
      <c r="J186" s="2"/>
    </row>
    <row r="187" spans="1:10" s="22" customFormat="1">
      <c r="A187" s="45"/>
      <c r="G187" s="2"/>
      <c r="H187" s="2"/>
      <c r="I187" s="2"/>
      <c r="J187" s="2"/>
    </row>
    <row r="188" spans="1:10" s="22" customFormat="1">
      <c r="A188" s="45"/>
      <c r="G188" s="2"/>
      <c r="H188" s="2"/>
      <c r="I188" s="2"/>
      <c r="J188" s="2"/>
    </row>
    <row r="189" spans="1:10" s="22" customFormat="1">
      <c r="A189" s="45"/>
      <c r="G189" s="2"/>
      <c r="H189" s="2"/>
      <c r="I189" s="2"/>
      <c r="J189" s="2"/>
    </row>
    <row r="190" spans="1:10" s="22" customFormat="1">
      <c r="A190" s="45"/>
      <c r="G190" s="2"/>
      <c r="H190" s="2"/>
      <c r="I190" s="2"/>
      <c r="J190" s="2"/>
    </row>
    <row r="191" spans="1:10" s="22" customFormat="1">
      <c r="A191" s="45"/>
      <c r="G191" s="2"/>
      <c r="H191" s="2"/>
      <c r="I191" s="2"/>
      <c r="J191" s="2"/>
    </row>
    <row r="192" spans="1:10" s="22" customFormat="1">
      <c r="A192" s="45"/>
      <c r="G192" s="2"/>
      <c r="H192" s="2"/>
      <c r="I192" s="2"/>
      <c r="J192" s="2"/>
    </row>
    <row r="193" spans="1:10" s="22" customFormat="1">
      <c r="A193" s="45"/>
      <c r="G193" s="2"/>
      <c r="H193" s="2"/>
      <c r="I193" s="2"/>
      <c r="J193" s="2"/>
    </row>
    <row r="194" spans="1:10" s="22" customFormat="1">
      <c r="A194" s="45"/>
      <c r="G194" s="2"/>
      <c r="H194" s="2"/>
      <c r="I194" s="2"/>
      <c r="J194" s="2"/>
    </row>
    <row r="195" spans="1:10" s="22" customFormat="1">
      <c r="A195" s="45"/>
      <c r="G195" s="2"/>
      <c r="H195" s="2"/>
      <c r="I195" s="2"/>
      <c r="J195" s="2"/>
    </row>
    <row r="196" spans="1:10" s="22" customFormat="1">
      <c r="A196" s="45"/>
      <c r="G196" s="2"/>
      <c r="H196" s="2"/>
      <c r="I196" s="2"/>
      <c r="J196" s="2"/>
    </row>
    <row r="197" spans="1:10" s="22" customFormat="1">
      <c r="A197" s="45"/>
      <c r="G197" s="2"/>
      <c r="H197" s="2"/>
      <c r="I197" s="2"/>
      <c r="J197" s="2"/>
    </row>
    <row r="198" spans="1:10" s="22" customFormat="1">
      <c r="A198" s="45"/>
      <c r="G198" s="2"/>
      <c r="H198" s="2"/>
      <c r="I198" s="2"/>
      <c r="J198" s="2"/>
    </row>
    <row r="199" spans="1:10" s="22" customFormat="1">
      <c r="A199" s="45"/>
      <c r="G199" s="2"/>
      <c r="H199" s="2"/>
      <c r="I199" s="2"/>
      <c r="J199" s="2"/>
    </row>
    <row r="200" spans="1:10" s="22" customFormat="1">
      <c r="A200" s="45"/>
      <c r="G200" s="2"/>
      <c r="H200" s="2"/>
      <c r="I200" s="2"/>
      <c r="J200" s="2"/>
    </row>
    <row r="201" spans="1:10" s="22" customFormat="1">
      <c r="A201" s="45"/>
      <c r="G201" s="2"/>
      <c r="H201" s="2"/>
      <c r="I201" s="2"/>
      <c r="J201" s="2"/>
    </row>
    <row r="202" spans="1:10" s="22" customFormat="1">
      <c r="A202" s="45"/>
      <c r="G202" s="2"/>
      <c r="H202" s="2"/>
      <c r="I202" s="2"/>
      <c r="J202" s="2"/>
    </row>
    <row r="203" spans="1:10" s="22" customFormat="1">
      <c r="A203" s="45"/>
      <c r="G203" s="2"/>
      <c r="H203" s="2"/>
      <c r="I203" s="2"/>
      <c r="J203" s="2"/>
    </row>
    <row r="204" spans="1:10" s="22" customFormat="1">
      <c r="A204" s="45"/>
      <c r="G204" s="2"/>
      <c r="H204" s="2"/>
      <c r="I204" s="2"/>
      <c r="J204" s="2"/>
    </row>
    <row r="205" spans="1:10" s="22" customFormat="1">
      <c r="A205" s="45"/>
      <c r="G205" s="2"/>
      <c r="H205" s="2"/>
      <c r="I205" s="2"/>
      <c r="J205" s="2"/>
    </row>
    <row r="206" spans="1:10" s="22" customFormat="1">
      <c r="A206" s="45"/>
      <c r="G206" s="2"/>
      <c r="H206" s="2"/>
      <c r="I206" s="2"/>
      <c r="J206" s="2"/>
    </row>
    <row r="207" spans="1:10" s="22" customFormat="1">
      <c r="A207" s="45"/>
      <c r="G207" s="2"/>
      <c r="H207" s="2"/>
      <c r="I207" s="2"/>
      <c r="J207" s="2"/>
    </row>
    <row r="208" spans="1:10" s="22" customFormat="1">
      <c r="A208" s="45"/>
      <c r="G208" s="2"/>
      <c r="H208" s="2"/>
      <c r="I208" s="2"/>
      <c r="J208" s="2"/>
    </row>
    <row r="209" spans="1:10" s="22" customFormat="1">
      <c r="A209" s="45"/>
      <c r="G209" s="2"/>
      <c r="H209" s="2"/>
      <c r="I209" s="2"/>
      <c r="J209" s="2"/>
    </row>
    <row r="210" spans="1:10" s="22" customFormat="1">
      <c r="A210" s="45"/>
      <c r="G210" s="2"/>
      <c r="H210" s="2"/>
      <c r="I210" s="2"/>
      <c r="J210" s="2"/>
    </row>
    <row r="211" spans="1:10" s="22" customFormat="1">
      <c r="A211" s="45"/>
      <c r="G211" s="2"/>
      <c r="H211" s="2"/>
      <c r="I211" s="2"/>
      <c r="J211" s="2"/>
    </row>
    <row r="212" spans="1:10" s="22" customFormat="1">
      <c r="A212" s="45"/>
      <c r="G212" s="2"/>
      <c r="H212" s="2"/>
      <c r="I212" s="2"/>
      <c r="J212" s="2"/>
    </row>
    <row r="213" spans="1:10" s="22" customFormat="1">
      <c r="A213" s="45"/>
      <c r="G213" s="2"/>
      <c r="H213" s="2"/>
      <c r="I213" s="2"/>
      <c r="J213" s="2"/>
    </row>
    <row r="214" spans="1:10" s="22" customFormat="1">
      <c r="A214" s="45"/>
      <c r="G214" s="2"/>
      <c r="H214" s="2"/>
      <c r="I214" s="2"/>
      <c r="J214" s="2"/>
    </row>
    <row r="215" spans="1:10" s="22" customFormat="1">
      <c r="A215" s="45"/>
      <c r="G215" s="2"/>
      <c r="H215" s="2"/>
      <c r="I215" s="2"/>
      <c r="J215" s="2"/>
    </row>
    <row r="216" spans="1:10" s="22" customFormat="1">
      <c r="A216" s="45"/>
      <c r="G216" s="2"/>
      <c r="H216" s="2"/>
      <c r="I216" s="2"/>
      <c r="J216" s="2"/>
    </row>
    <row r="217" spans="1:10" s="22" customFormat="1">
      <c r="A217" s="45"/>
      <c r="G217" s="2"/>
      <c r="H217" s="2"/>
      <c r="I217" s="2"/>
      <c r="J217" s="2"/>
    </row>
    <row r="218" spans="1:10" s="22" customFormat="1">
      <c r="A218" s="45"/>
      <c r="G218" s="2"/>
      <c r="H218" s="2"/>
      <c r="I218" s="2"/>
      <c r="J218" s="2"/>
    </row>
    <row r="219" spans="1:10" s="22" customFormat="1">
      <c r="A219" s="45"/>
      <c r="G219" s="2"/>
      <c r="H219" s="2"/>
      <c r="I219" s="2"/>
      <c r="J219" s="2"/>
    </row>
    <row r="220" spans="1:10" s="22" customFormat="1">
      <c r="A220" s="45"/>
      <c r="G220" s="2"/>
      <c r="H220" s="2"/>
      <c r="I220" s="2"/>
      <c r="J220" s="2"/>
    </row>
    <row r="221" spans="1:10" s="22" customFormat="1">
      <c r="A221" s="45"/>
      <c r="G221" s="2"/>
      <c r="H221" s="2"/>
      <c r="I221" s="2"/>
      <c r="J221" s="2"/>
    </row>
    <row r="222" spans="1:10" s="22" customFormat="1">
      <c r="A222" s="45"/>
      <c r="G222" s="2"/>
      <c r="H222" s="2"/>
      <c r="I222" s="2"/>
      <c r="J222" s="2"/>
    </row>
    <row r="223" spans="1:10" s="22" customFormat="1">
      <c r="A223" s="45"/>
      <c r="G223" s="2"/>
      <c r="H223" s="2"/>
      <c r="I223" s="2"/>
      <c r="J223" s="2"/>
    </row>
    <row r="224" spans="1:10" s="22" customFormat="1">
      <c r="A224" s="45"/>
      <c r="G224" s="2"/>
      <c r="H224" s="2"/>
      <c r="I224" s="2"/>
      <c r="J224" s="2"/>
    </row>
    <row r="225" spans="1:10" s="22" customFormat="1">
      <c r="A225" s="45"/>
      <c r="G225" s="2"/>
      <c r="H225" s="2"/>
      <c r="I225" s="2"/>
      <c r="J225" s="2"/>
    </row>
    <row r="226" spans="1:10" s="22" customFormat="1">
      <c r="A226" s="45"/>
      <c r="G226" s="2"/>
      <c r="H226" s="2"/>
      <c r="I226" s="2"/>
      <c r="J226" s="2"/>
    </row>
    <row r="227" spans="1:10" s="22" customFormat="1">
      <c r="A227" s="45"/>
      <c r="G227" s="2"/>
      <c r="H227" s="2"/>
      <c r="I227" s="2"/>
      <c r="J227" s="2"/>
    </row>
    <row r="228" spans="1:10" s="22" customFormat="1">
      <c r="A228" s="45"/>
      <c r="G228" s="2"/>
      <c r="H228" s="2"/>
      <c r="I228" s="2"/>
      <c r="J228" s="2"/>
    </row>
    <row r="229" spans="1:10" s="22" customFormat="1">
      <c r="A229" s="45"/>
      <c r="G229" s="2"/>
      <c r="H229" s="2"/>
      <c r="I229" s="2"/>
      <c r="J229" s="2"/>
    </row>
  </sheetData>
  <sheetProtection password="C6FB" sheet="1" objects="1" scenarios="1" formatCells="0" formatColumns="0" formatRows="0"/>
  <mergeCells count="23">
    <mergeCell ref="A5:J5"/>
    <mergeCell ref="A3:J3"/>
    <mergeCell ref="A42:J42"/>
    <mergeCell ref="C7:C8"/>
    <mergeCell ref="C59:F59"/>
    <mergeCell ref="F7:F8"/>
    <mergeCell ref="H59:J59"/>
    <mergeCell ref="D7:D8"/>
    <mergeCell ref="A40:J40"/>
    <mergeCell ref="A33:J33"/>
    <mergeCell ref="A46:J46"/>
    <mergeCell ref="A26:J26"/>
    <mergeCell ref="A7:A8"/>
    <mergeCell ref="B7:B8"/>
    <mergeCell ref="E7:E8"/>
    <mergeCell ref="G7:J7"/>
    <mergeCell ref="A10:J10"/>
    <mergeCell ref="C62:F62"/>
    <mergeCell ref="H62:J62"/>
    <mergeCell ref="C63:F63"/>
    <mergeCell ref="H63:J63"/>
    <mergeCell ref="C60:F60"/>
    <mergeCell ref="H60:J60"/>
  </mergeCells>
  <phoneticPr fontId="4" type="noConversion"/>
  <pageMargins left="0.25" right="0.25" top="0.75" bottom="0.75" header="0.3" footer="0.3"/>
  <pageSetup paperSize="9" scale="49" orientation="portrait" horizontalDpi="4294967293" r:id="rId1"/>
  <headerFooter alignWithMargins="0">
    <oddHeader xml:space="preserve">&amp;C&amp;"Times New Roman,обычный"&amp;14
&amp;R&amp;"Times New Roman,обычный"&amp;14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342"/>
  <sheetViews>
    <sheetView tabSelected="1" view="pageBreakPreview" topLeftCell="A73" zoomScale="75" zoomScaleNormal="90" zoomScaleSheetLayoutView="75" workbookViewId="0">
      <selection activeCell="P40" sqref="P40"/>
    </sheetView>
  </sheetViews>
  <sheetFormatPr defaultRowHeight="18.75"/>
  <cols>
    <col min="1" max="1" width="48.42578125" style="2" customWidth="1"/>
    <col min="2" max="2" width="11.5703125" style="22" customWidth="1"/>
    <col min="3" max="3" width="12.42578125" style="288" customWidth="1"/>
    <col min="4" max="4" width="17" style="22" customWidth="1"/>
    <col min="5" max="5" width="14.85546875" style="22" customWidth="1"/>
    <col min="6" max="6" width="13" style="2" customWidth="1"/>
    <col min="7" max="7" width="13.85546875" style="2" customWidth="1"/>
    <col min="8" max="9" width="13.140625" style="2" customWidth="1"/>
    <col min="10" max="10" width="20" style="2" customWidth="1"/>
    <col min="11" max="16384" width="9.140625" style="2"/>
  </cols>
  <sheetData>
    <row r="1" spans="1:14">
      <c r="A1" s="400" t="s">
        <v>373</v>
      </c>
      <c r="B1" s="400"/>
      <c r="C1" s="400"/>
      <c r="D1" s="400"/>
      <c r="E1" s="400"/>
      <c r="F1" s="400"/>
      <c r="G1" s="400"/>
      <c r="H1" s="400"/>
      <c r="I1" s="400"/>
      <c r="J1" s="400"/>
    </row>
    <row r="2" spans="1:14">
      <c r="A2" s="172"/>
      <c r="B2" s="173"/>
      <c r="C2" s="276"/>
      <c r="D2" s="172"/>
      <c r="E2" s="173"/>
      <c r="F2" s="172"/>
      <c r="G2" s="172"/>
      <c r="H2" s="172"/>
      <c r="I2" s="172"/>
      <c r="J2" s="174"/>
    </row>
    <row r="3" spans="1:14" ht="42" customHeight="1">
      <c r="A3" s="395" t="s">
        <v>271</v>
      </c>
      <c r="B3" s="396" t="s">
        <v>18</v>
      </c>
      <c r="C3" s="407" t="s">
        <v>499</v>
      </c>
      <c r="D3" s="396" t="s">
        <v>500</v>
      </c>
      <c r="E3" s="410" t="s">
        <v>501</v>
      </c>
      <c r="F3" s="396" t="s">
        <v>502</v>
      </c>
      <c r="G3" s="396"/>
      <c r="H3" s="396"/>
      <c r="I3" s="396"/>
      <c r="J3" s="403" t="s">
        <v>250</v>
      </c>
    </row>
    <row r="4" spans="1:14" ht="55.5" customHeight="1">
      <c r="A4" s="395"/>
      <c r="B4" s="396"/>
      <c r="C4" s="407"/>
      <c r="D4" s="396"/>
      <c r="E4" s="410"/>
      <c r="F4" s="175" t="s">
        <v>369</v>
      </c>
      <c r="G4" s="175" t="s">
        <v>370</v>
      </c>
      <c r="H4" s="175" t="s">
        <v>371</v>
      </c>
      <c r="I4" s="175" t="s">
        <v>85</v>
      </c>
      <c r="J4" s="403"/>
    </row>
    <row r="5" spans="1:14" ht="18" customHeight="1">
      <c r="A5" s="88">
        <v>1</v>
      </c>
      <c r="B5" s="89">
        <v>2</v>
      </c>
      <c r="C5" s="277">
        <v>3</v>
      </c>
      <c r="D5" s="89">
        <v>4</v>
      </c>
      <c r="E5" s="89">
        <v>5</v>
      </c>
      <c r="F5" s="89">
        <v>6</v>
      </c>
      <c r="G5" s="89">
        <v>7</v>
      </c>
      <c r="H5" s="89">
        <v>8</v>
      </c>
      <c r="I5" s="89">
        <v>9</v>
      </c>
      <c r="J5" s="89">
        <v>10</v>
      </c>
    </row>
    <row r="6" spans="1:14" s="5" customFormat="1" ht="20.100000000000001" customHeight="1">
      <c r="A6" s="372" t="s">
        <v>278</v>
      </c>
      <c r="B6" s="373"/>
      <c r="C6" s="373"/>
      <c r="D6" s="373"/>
      <c r="E6" s="373"/>
      <c r="F6" s="373"/>
      <c r="G6" s="373"/>
      <c r="H6" s="373"/>
      <c r="I6" s="373"/>
      <c r="J6" s="374"/>
    </row>
    <row r="7" spans="1:14" s="5" customFormat="1" ht="42" customHeight="1">
      <c r="A7" s="231" t="s">
        <v>120</v>
      </c>
      <c r="B7" s="141">
        <v>1000</v>
      </c>
      <c r="C7" s="278">
        <f>C8</f>
        <v>0</v>
      </c>
      <c r="D7" s="179">
        <f t="shared" ref="D7:I7" si="0">D8</f>
        <v>0</v>
      </c>
      <c r="E7" s="179">
        <f t="shared" si="0"/>
        <v>0</v>
      </c>
      <c r="F7" s="179">
        <f t="shared" si="0"/>
        <v>0</v>
      </c>
      <c r="G7" s="179">
        <f t="shared" si="0"/>
        <v>0</v>
      </c>
      <c r="H7" s="179">
        <f t="shared" si="0"/>
        <v>0</v>
      </c>
      <c r="I7" s="179">
        <f t="shared" si="0"/>
        <v>0</v>
      </c>
      <c r="J7" s="177"/>
    </row>
    <row r="8" spans="1:14" s="5" customFormat="1" ht="93.75">
      <c r="A8" s="231" t="s">
        <v>503</v>
      </c>
      <c r="B8" s="233" t="s">
        <v>397</v>
      </c>
      <c r="C8" s="188"/>
      <c r="D8" s="159"/>
      <c r="E8" s="159"/>
      <c r="F8" s="159"/>
      <c r="G8" s="159"/>
      <c r="H8" s="159"/>
      <c r="I8" s="159"/>
      <c r="J8" s="126"/>
    </row>
    <row r="9" spans="1:14" ht="40.5" customHeight="1">
      <c r="A9" s="231" t="s">
        <v>139</v>
      </c>
      <c r="B9" s="141">
        <v>1010</v>
      </c>
      <c r="C9" s="278">
        <f t="shared" ref="C9:I9" si="1">SUM(C10:C17)</f>
        <v>864</v>
      </c>
      <c r="D9" s="179">
        <f t="shared" si="1"/>
        <v>500</v>
      </c>
      <c r="E9" s="179">
        <f t="shared" si="1"/>
        <v>10088</v>
      </c>
      <c r="F9" s="179">
        <f t="shared" si="1"/>
        <v>4657</v>
      </c>
      <c r="G9" s="179">
        <f t="shared" si="1"/>
        <v>9676</v>
      </c>
      <c r="H9" s="179">
        <f t="shared" si="1"/>
        <v>14863</v>
      </c>
      <c r="I9" s="179">
        <f t="shared" si="1"/>
        <v>20052</v>
      </c>
      <c r="J9" s="234"/>
    </row>
    <row r="10" spans="1:14" s="1" customFormat="1" ht="21.75" customHeight="1">
      <c r="A10" s="231" t="s">
        <v>307</v>
      </c>
      <c r="B10" s="232">
        <v>1011</v>
      </c>
      <c r="C10" s="188"/>
      <c r="D10" s="159"/>
      <c r="E10" s="159"/>
      <c r="F10" s="159"/>
      <c r="G10" s="159"/>
      <c r="H10" s="159"/>
      <c r="I10" s="159"/>
      <c r="J10" s="234"/>
    </row>
    <row r="11" spans="1:14" s="1" customFormat="1" ht="20.100000000000001" customHeight="1">
      <c r="A11" s="231" t="s">
        <v>67</v>
      </c>
      <c r="B11" s="232">
        <v>1012</v>
      </c>
      <c r="C11" s="188"/>
      <c r="D11" s="159"/>
      <c r="E11" s="159"/>
      <c r="F11" s="159"/>
      <c r="G11" s="159"/>
      <c r="H11" s="159"/>
      <c r="I11" s="159"/>
      <c r="J11" s="234"/>
    </row>
    <row r="12" spans="1:14" s="1" customFormat="1" ht="20.100000000000001" customHeight="1">
      <c r="A12" s="231" t="s">
        <v>66</v>
      </c>
      <c r="B12" s="232">
        <v>1013</v>
      </c>
      <c r="C12" s="188"/>
      <c r="D12" s="159"/>
      <c r="E12" s="159"/>
      <c r="F12" s="159"/>
      <c r="G12" s="159"/>
      <c r="H12" s="159"/>
      <c r="I12" s="159"/>
      <c r="J12" s="234"/>
    </row>
    <row r="13" spans="1:14" s="1" customFormat="1" ht="20.100000000000001" customHeight="1">
      <c r="A13" s="231" t="s">
        <v>42</v>
      </c>
      <c r="B13" s="232">
        <v>1014</v>
      </c>
      <c r="C13" s="188"/>
      <c r="D13" s="159"/>
      <c r="E13" s="159"/>
      <c r="F13" s="188">
        <v>211</v>
      </c>
      <c r="G13" s="188">
        <v>722</v>
      </c>
      <c r="H13" s="159">
        <v>1371</v>
      </c>
      <c r="I13" s="188">
        <v>2021</v>
      </c>
      <c r="J13" s="234"/>
      <c r="K13" s="330">
        <f>штатка!N32/1000</f>
        <v>211.07744786250001</v>
      </c>
      <c r="L13" s="330">
        <f>штатка!O32/1000</f>
        <v>721.84712519437494</v>
      </c>
      <c r="M13" s="330">
        <f>штатка!P32/1000</f>
        <v>1371.2293125262502</v>
      </c>
      <c r="N13" s="330">
        <f>штатка!Q32/1000</f>
        <v>2020.6114998581252</v>
      </c>
    </row>
    <row r="14" spans="1:14" s="1" customFormat="1" ht="20.100000000000001" customHeight="1">
      <c r="A14" s="231" t="s">
        <v>43</v>
      </c>
      <c r="B14" s="232">
        <v>1015</v>
      </c>
      <c r="C14" s="188"/>
      <c r="D14" s="159"/>
      <c r="E14" s="159"/>
      <c r="F14" s="188">
        <v>46</v>
      </c>
      <c r="G14" s="188">
        <v>158</v>
      </c>
      <c r="H14" s="159">
        <v>298</v>
      </c>
      <c r="I14" s="188">
        <v>439</v>
      </c>
      <c r="J14" s="234"/>
      <c r="K14" s="330">
        <f>штатка!N33/1000</f>
        <v>46.437038529750005</v>
      </c>
      <c r="L14" s="342">
        <f>штатка!O33/1000</f>
        <v>157.38095864876246</v>
      </c>
      <c r="M14" s="330">
        <f>штатка!P33/1000</f>
        <v>298.10692652077506</v>
      </c>
      <c r="N14" s="330">
        <f>штатка!Q33/1000</f>
        <v>438.83289439278758</v>
      </c>
    </row>
    <row r="15" spans="1:14" s="1" customFormat="1" ht="78.75" customHeight="1">
      <c r="A15" s="231" t="s">
        <v>434</v>
      </c>
      <c r="B15" s="232">
        <v>1016</v>
      </c>
      <c r="C15" s="188">
        <v>864</v>
      </c>
      <c r="D15" s="159"/>
      <c r="E15" s="159"/>
      <c r="F15" s="188"/>
      <c r="G15" s="188"/>
      <c r="H15" s="188"/>
      <c r="I15" s="188"/>
      <c r="J15" s="189"/>
    </row>
    <row r="16" spans="1:14" s="1" customFormat="1" ht="38.25" customHeight="1">
      <c r="A16" s="231" t="s">
        <v>65</v>
      </c>
      <c r="B16" s="232">
        <v>1017</v>
      </c>
      <c r="C16" s="188"/>
      <c r="D16" s="159">
        <v>500</v>
      </c>
      <c r="E16" s="262">
        <v>3757</v>
      </c>
      <c r="F16" s="262">
        <v>950</v>
      </c>
      <c r="G16" s="262">
        <v>1896</v>
      </c>
      <c r="H16" s="262">
        <v>2844</v>
      </c>
      <c r="I16" s="262">
        <v>3792</v>
      </c>
      <c r="J16" s="234"/>
    </row>
    <row r="17" spans="1:10" s="1" customFormat="1" ht="27" customHeight="1">
      <c r="A17" s="231" t="s">
        <v>137</v>
      </c>
      <c r="B17" s="232">
        <v>1018</v>
      </c>
      <c r="C17" s="188">
        <f t="shared" ref="C17:I17" si="2">SUM(C18:C21)</f>
        <v>0</v>
      </c>
      <c r="D17" s="159">
        <f t="shared" si="2"/>
        <v>0</v>
      </c>
      <c r="E17" s="159">
        <f>SUM(E18:E21)</f>
        <v>6331</v>
      </c>
      <c r="F17" s="159">
        <f t="shared" si="2"/>
        <v>3450</v>
      </c>
      <c r="G17" s="159">
        <f t="shared" si="2"/>
        <v>6900</v>
      </c>
      <c r="H17" s="159">
        <f t="shared" si="2"/>
        <v>10350</v>
      </c>
      <c r="I17" s="159">
        <f t="shared" si="2"/>
        <v>13800</v>
      </c>
      <c r="J17" s="234"/>
    </row>
    <row r="18" spans="1:10" s="1" customFormat="1" ht="56.25">
      <c r="A18" s="261" t="s">
        <v>524</v>
      </c>
      <c r="B18" s="228" t="s">
        <v>405</v>
      </c>
      <c r="C18" s="188"/>
      <c r="D18" s="159"/>
      <c r="E18" s="262">
        <v>4556</v>
      </c>
      <c r="F18" s="262">
        <v>2100</v>
      </c>
      <c r="G18" s="262">
        <v>4200</v>
      </c>
      <c r="H18" s="262">
        <v>6300</v>
      </c>
      <c r="I18" s="262">
        <v>8400</v>
      </c>
      <c r="J18" s="234"/>
    </row>
    <row r="19" spans="1:10" s="1" customFormat="1" ht="44.25" customHeight="1">
      <c r="A19" s="261" t="s">
        <v>525</v>
      </c>
      <c r="B19" s="228" t="s">
        <v>406</v>
      </c>
      <c r="C19" s="188"/>
      <c r="D19" s="159"/>
      <c r="E19" s="262">
        <v>1775</v>
      </c>
      <c r="F19" s="262">
        <v>900</v>
      </c>
      <c r="G19" s="262">
        <v>1800</v>
      </c>
      <c r="H19" s="262">
        <v>2700</v>
      </c>
      <c r="I19" s="262">
        <v>3600</v>
      </c>
      <c r="J19" s="234"/>
    </row>
    <row r="20" spans="1:10" s="1" customFormat="1" ht="56.25">
      <c r="A20" s="261" t="s">
        <v>529</v>
      </c>
      <c r="B20" s="228" t="s">
        <v>407</v>
      </c>
      <c r="C20" s="188"/>
      <c r="D20" s="159"/>
      <c r="E20" s="268"/>
      <c r="F20" s="268">
        <v>450</v>
      </c>
      <c r="G20" s="268">
        <v>900</v>
      </c>
      <c r="H20" s="268">
        <v>1350</v>
      </c>
      <c r="I20" s="268">
        <v>1800</v>
      </c>
      <c r="J20" s="234"/>
    </row>
    <row r="21" spans="1:10" s="1" customFormat="1" ht="20.25" customHeight="1">
      <c r="A21" s="231"/>
      <c r="B21" s="228" t="s">
        <v>408</v>
      </c>
      <c r="C21" s="188"/>
      <c r="D21" s="159"/>
      <c r="E21" s="159"/>
      <c r="F21" s="159"/>
      <c r="G21" s="159"/>
      <c r="H21" s="159"/>
      <c r="I21" s="159"/>
      <c r="J21" s="234"/>
    </row>
    <row r="22" spans="1:10" s="5" customFormat="1" ht="20.100000000000001" customHeight="1">
      <c r="A22" s="140" t="s">
        <v>23</v>
      </c>
      <c r="B22" s="183">
        <v>1020</v>
      </c>
      <c r="C22" s="279">
        <f t="shared" ref="C22:I22" si="3">C7-C9</f>
        <v>-864</v>
      </c>
      <c r="D22" s="254">
        <f t="shared" si="3"/>
        <v>-500</v>
      </c>
      <c r="E22" s="254">
        <f t="shared" si="3"/>
        <v>-10088</v>
      </c>
      <c r="F22" s="254">
        <f t="shared" si="3"/>
        <v>-4657</v>
      </c>
      <c r="G22" s="254">
        <f t="shared" si="3"/>
        <v>-9676</v>
      </c>
      <c r="H22" s="254">
        <f t="shared" si="3"/>
        <v>-14863</v>
      </c>
      <c r="I22" s="254">
        <f t="shared" si="3"/>
        <v>-20052</v>
      </c>
      <c r="J22" s="126"/>
    </row>
    <row r="23" spans="1:10" ht="38.25" customHeight="1">
      <c r="A23" s="231" t="s">
        <v>399</v>
      </c>
      <c r="B23" s="141">
        <v>1030</v>
      </c>
      <c r="C23" s="188">
        <f>C24+C25</f>
        <v>354</v>
      </c>
      <c r="D23" s="159"/>
      <c r="E23" s="159"/>
      <c r="F23" s="159"/>
      <c r="G23" s="159"/>
      <c r="H23" s="159"/>
      <c r="I23" s="159"/>
      <c r="J23" s="234"/>
    </row>
    <row r="24" spans="1:10" ht="37.5">
      <c r="A24" s="231" t="s">
        <v>536</v>
      </c>
      <c r="B24" s="233" t="s">
        <v>403</v>
      </c>
      <c r="C24" s="188">
        <v>354</v>
      </c>
      <c r="D24" s="159"/>
      <c r="E24" s="159"/>
      <c r="F24" s="159"/>
      <c r="G24" s="159"/>
      <c r="H24" s="159"/>
      <c r="I24" s="159"/>
      <c r="J24" s="234"/>
    </row>
    <row r="25" spans="1:10" s="270" customFormat="1" ht="37.5">
      <c r="A25" s="271" t="s">
        <v>402</v>
      </c>
      <c r="B25" s="272" t="s">
        <v>535</v>
      </c>
      <c r="C25" s="280"/>
      <c r="D25" s="268"/>
      <c r="E25" s="268"/>
      <c r="F25" s="268"/>
      <c r="G25" s="268"/>
      <c r="H25" s="268"/>
      <c r="I25" s="268"/>
      <c r="J25" s="269"/>
    </row>
    <row r="26" spans="1:10" ht="20.25" customHeight="1">
      <c r="A26" s="231" t="s">
        <v>234</v>
      </c>
      <c r="B26" s="141">
        <v>1031</v>
      </c>
      <c r="C26" s="188"/>
      <c r="D26" s="159"/>
      <c r="E26" s="159"/>
      <c r="F26" s="159"/>
      <c r="G26" s="159"/>
      <c r="H26" s="159"/>
      <c r="I26" s="159"/>
      <c r="J26" s="234"/>
    </row>
    <row r="27" spans="1:10" ht="20.100000000000001" customHeight="1">
      <c r="A27" s="231" t="s">
        <v>241</v>
      </c>
      <c r="B27" s="141">
        <v>1040</v>
      </c>
      <c r="C27" s="278">
        <f t="shared" ref="C27:F27" si="4">SUM(C28:C47)+C49</f>
        <v>2780</v>
      </c>
      <c r="D27" s="179">
        <f>SUM(D28:D47)+D49</f>
        <v>4010</v>
      </c>
      <c r="E27" s="179">
        <f>SUM(E28:E47)+E49</f>
        <v>3599</v>
      </c>
      <c r="F27" s="179">
        <f t="shared" si="4"/>
        <v>466</v>
      </c>
      <c r="G27" s="179">
        <f>SUM(G28:G47)+G49</f>
        <v>1067</v>
      </c>
      <c r="H27" s="179">
        <f>SUM(H28:H47)+H49</f>
        <v>1685</v>
      </c>
      <c r="I27" s="179">
        <f>SUM(I28:I47)+I49</f>
        <v>2311</v>
      </c>
      <c r="J27" s="234"/>
    </row>
    <row r="28" spans="1:10" ht="37.5">
      <c r="A28" s="231" t="s">
        <v>119</v>
      </c>
      <c r="B28" s="141">
        <v>1041</v>
      </c>
      <c r="C28" s="188"/>
      <c r="D28" s="159"/>
      <c r="E28" s="159"/>
      <c r="F28" s="159"/>
      <c r="G28" s="159"/>
      <c r="H28" s="159"/>
      <c r="I28" s="159"/>
      <c r="J28" s="234"/>
    </row>
    <row r="29" spans="1:10" ht="32.25" customHeight="1">
      <c r="A29" s="231" t="s">
        <v>224</v>
      </c>
      <c r="B29" s="141">
        <v>1042</v>
      </c>
      <c r="C29" s="188"/>
      <c r="D29" s="159"/>
      <c r="E29" s="159"/>
      <c r="F29" s="159"/>
      <c r="G29" s="159"/>
      <c r="H29" s="159"/>
      <c r="I29" s="159"/>
      <c r="J29" s="234"/>
    </row>
    <row r="30" spans="1:10" ht="20.100000000000001" customHeight="1">
      <c r="A30" s="231" t="s">
        <v>64</v>
      </c>
      <c r="B30" s="141">
        <v>1043</v>
      </c>
      <c r="C30" s="188"/>
      <c r="D30" s="159"/>
      <c r="E30" s="159"/>
      <c r="F30" s="159"/>
      <c r="G30" s="159"/>
      <c r="H30" s="159"/>
      <c r="I30" s="159"/>
      <c r="J30" s="234"/>
    </row>
    <row r="31" spans="1:10" ht="20.100000000000001" customHeight="1">
      <c r="A31" s="231" t="s">
        <v>21</v>
      </c>
      <c r="B31" s="141">
        <v>1044</v>
      </c>
      <c r="C31" s="188"/>
      <c r="D31" s="159"/>
      <c r="E31" s="159"/>
      <c r="F31" s="159"/>
      <c r="G31" s="159"/>
      <c r="H31" s="159"/>
      <c r="I31" s="159"/>
      <c r="J31" s="234"/>
    </row>
    <row r="32" spans="1:10" ht="20.100000000000001" customHeight="1">
      <c r="A32" s="231" t="s">
        <v>22</v>
      </c>
      <c r="B32" s="141">
        <v>1045</v>
      </c>
      <c r="C32" s="188"/>
      <c r="D32" s="159"/>
      <c r="E32" s="159"/>
      <c r="F32" s="159"/>
      <c r="G32" s="159"/>
      <c r="H32" s="159"/>
      <c r="I32" s="159"/>
      <c r="J32" s="234"/>
    </row>
    <row r="33" spans="1:14" s="1" customFormat="1" ht="20.100000000000001" customHeight="1">
      <c r="A33" s="231" t="s">
        <v>40</v>
      </c>
      <c r="B33" s="141">
        <v>1046</v>
      </c>
      <c r="C33" s="188"/>
      <c r="D33" s="159"/>
      <c r="E33" s="159"/>
      <c r="F33" s="159"/>
      <c r="G33" s="159"/>
      <c r="H33" s="159"/>
      <c r="I33" s="159"/>
      <c r="J33" s="234"/>
    </row>
    <row r="34" spans="1:14" s="1" customFormat="1" ht="20.100000000000001" customHeight="1">
      <c r="A34" s="231" t="s">
        <v>41</v>
      </c>
      <c r="B34" s="141">
        <v>1047</v>
      </c>
      <c r="C34" s="188"/>
      <c r="D34" s="159">
        <v>6</v>
      </c>
      <c r="E34" s="159"/>
      <c r="F34" s="159"/>
      <c r="G34" s="159"/>
      <c r="H34" s="159"/>
      <c r="I34" s="159"/>
      <c r="J34" s="234"/>
    </row>
    <row r="35" spans="1:14" s="1" customFormat="1" ht="20.100000000000001" customHeight="1">
      <c r="A35" s="231" t="s">
        <v>42</v>
      </c>
      <c r="B35" s="141">
        <v>1048</v>
      </c>
      <c r="C35" s="188">
        <v>2178</v>
      </c>
      <c r="D35" s="159">
        <v>3076</v>
      </c>
      <c r="E35" s="159">
        <v>2759</v>
      </c>
      <c r="F35" s="188">
        <v>288</v>
      </c>
      <c r="G35" s="188">
        <v>690</v>
      </c>
      <c r="H35" s="159">
        <v>1107</v>
      </c>
      <c r="I35" s="188">
        <v>1525</v>
      </c>
      <c r="J35" s="348"/>
      <c r="K35" s="212">
        <f>штатка!N35/1000</f>
        <v>288.01276695000007</v>
      </c>
      <c r="L35" s="212">
        <f>штатка!O35/1000</f>
        <v>689.69211165000013</v>
      </c>
      <c r="M35" s="212">
        <f>штатка!P35/1000</f>
        <v>1107.1044463499998</v>
      </c>
      <c r="N35" s="212">
        <f>штатка!Q35/1000</f>
        <v>1524.5167810500002</v>
      </c>
    </row>
    <row r="36" spans="1:14" s="1" customFormat="1" ht="20.100000000000001" customHeight="1">
      <c r="A36" s="231" t="s">
        <v>43</v>
      </c>
      <c r="B36" s="141">
        <v>1049</v>
      </c>
      <c r="C36" s="188">
        <v>479</v>
      </c>
      <c r="D36" s="159">
        <v>660</v>
      </c>
      <c r="E36" s="159">
        <v>616</v>
      </c>
      <c r="F36" s="278">
        <v>62</v>
      </c>
      <c r="G36" s="278">
        <v>148</v>
      </c>
      <c r="H36" s="179">
        <v>238</v>
      </c>
      <c r="I36" s="278">
        <v>328</v>
      </c>
      <c r="J36" s="348"/>
      <c r="K36" s="212">
        <f>штатка!N36/1000</f>
        <v>61.576334599500015</v>
      </c>
      <c r="L36" s="212">
        <f>штатка!O36/1000</f>
        <v>148.15931630400004</v>
      </c>
      <c r="M36" s="212">
        <f>штатка!P36/1000</f>
        <v>238.2035558085</v>
      </c>
      <c r="N36" s="212">
        <f>штатка!Q36/1000</f>
        <v>328.24779531300004</v>
      </c>
    </row>
    <row r="37" spans="1:14" s="1" customFormat="1" ht="60" customHeight="1">
      <c r="A37" s="231" t="s">
        <v>44</v>
      </c>
      <c r="B37" s="141">
        <v>1050</v>
      </c>
      <c r="C37" s="188">
        <v>6</v>
      </c>
      <c r="D37" s="159">
        <v>10</v>
      </c>
      <c r="E37" s="159"/>
      <c r="F37" s="159">
        <v>7</v>
      </c>
      <c r="G37" s="159">
        <v>8</v>
      </c>
      <c r="H37" s="159">
        <v>8</v>
      </c>
      <c r="I37" s="159">
        <v>11</v>
      </c>
      <c r="J37" s="234"/>
    </row>
    <row r="38" spans="1:14" s="1" customFormat="1" ht="56.25">
      <c r="A38" s="231" t="s">
        <v>45</v>
      </c>
      <c r="B38" s="141">
        <v>1051</v>
      </c>
      <c r="C38" s="188"/>
      <c r="D38" s="159"/>
      <c r="E38" s="159"/>
      <c r="F38" s="159"/>
      <c r="G38" s="159"/>
      <c r="H38" s="159"/>
      <c r="I38" s="159"/>
      <c r="J38" s="234"/>
    </row>
    <row r="39" spans="1:14" s="1" customFormat="1" ht="37.5">
      <c r="A39" s="231" t="s">
        <v>46</v>
      </c>
      <c r="B39" s="141">
        <v>1052</v>
      </c>
      <c r="C39" s="188"/>
      <c r="D39" s="159"/>
      <c r="E39" s="159"/>
      <c r="F39" s="159"/>
      <c r="G39" s="159"/>
      <c r="H39" s="159"/>
      <c r="I39" s="159"/>
      <c r="J39" s="234"/>
    </row>
    <row r="40" spans="1:14" s="1" customFormat="1" ht="37.5">
      <c r="A40" s="231" t="s">
        <v>47</v>
      </c>
      <c r="B40" s="141">
        <v>1053</v>
      </c>
      <c r="C40" s="188"/>
      <c r="D40" s="159"/>
      <c r="E40" s="159"/>
      <c r="F40" s="159"/>
      <c r="G40" s="159"/>
      <c r="H40" s="159"/>
      <c r="I40" s="159"/>
      <c r="J40" s="234"/>
    </row>
    <row r="41" spans="1:14" s="1" customFormat="1" ht="20.100000000000001" customHeight="1">
      <c r="A41" s="231" t="s">
        <v>48</v>
      </c>
      <c r="B41" s="141">
        <v>1054</v>
      </c>
      <c r="C41" s="188"/>
      <c r="D41" s="159">
        <v>13</v>
      </c>
      <c r="E41" s="159"/>
      <c r="F41" s="159"/>
      <c r="G41" s="159"/>
      <c r="H41" s="159"/>
      <c r="I41" s="159"/>
      <c r="J41" s="234"/>
    </row>
    <row r="42" spans="1:14" s="1" customFormat="1" ht="20.100000000000001" customHeight="1">
      <c r="A42" s="231" t="s">
        <v>68</v>
      </c>
      <c r="B42" s="141">
        <v>1055</v>
      </c>
      <c r="C42" s="188"/>
      <c r="D42" s="159">
        <v>3</v>
      </c>
      <c r="E42" s="159">
        <v>4</v>
      </c>
      <c r="F42" s="159"/>
      <c r="G42" s="159"/>
      <c r="H42" s="159"/>
      <c r="I42" s="159"/>
      <c r="J42" s="234"/>
    </row>
    <row r="43" spans="1:14" s="1" customFormat="1" ht="20.100000000000001" customHeight="1">
      <c r="A43" s="231" t="s">
        <v>49</v>
      </c>
      <c r="B43" s="141">
        <v>1056</v>
      </c>
      <c r="C43" s="188"/>
      <c r="D43" s="159"/>
      <c r="E43" s="159"/>
      <c r="F43" s="159">
        <v>60</v>
      </c>
      <c r="G43" s="159">
        <v>120</v>
      </c>
      <c r="H43" s="159">
        <v>180</v>
      </c>
      <c r="I43" s="159">
        <v>240</v>
      </c>
      <c r="J43" s="234"/>
    </row>
    <row r="44" spans="1:14" s="1" customFormat="1" ht="20.100000000000001" customHeight="1">
      <c r="A44" s="231" t="s">
        <v>50</v>
      </c>
      <c r="B44" s="141">
        <v>1057</v>
      </c>
      <c r="C44" s="188"/>
      <c r="D44" s="159">
        <v>10</v>
      </c>
      <c r="E44" s="159"/>
      <c r="F44" s="159"/>
      <c r="G44" s="159"/>
      <c r="H44" s="159"/>
      <c r="I44" s="159"/>
      <c r="J44" s="234"/>
    </row>
    <row r="45" spans="1:14" s="1" customFormat="1">
      <c r="A45" s="231" t="s">
        <v>435</v>
      </c>
      <c r="B45" s="141">
        <v>1058</v>
      </c>
      <c r="C45" s="188"/>
      <c r="D45" s="159">
        <v>11</v>
      </c>
      <c r="E45" s="159">
        <v>6</v>
      </c>
      <c r="F45" s="159">
        <v>1</v>
      </c>
      <c r="G45" s="159">
        <v>3</v>
      </c>
      <c r="H45" s="159">
        <v>4</v>
      </c>
      <c r="I45" s="159">
        <v>6</v>
      </c>
      <c r="J45" s="234"/>
    </row>
    <row r="46" spans="1:14" s="1" customFormat="1" ht="37.5">
      <c r="A46" s="231" t="s">
        <v>51</v>
      </c>
      <c r="B46" s="141">
        <v>1059</v>
      </c>
      <c r="C46" s="188"/>
      <c r="D46" s="159">
        <v>12</v>
      </c>
      <c r="E46" s="159">
        <v>3</v>
      </c>
      <c r="F46" s="159">
        <v>2</v>
      </c>
      <c r="G46" s="159">
        <v>4</v>
      </c>
      <c r="H46" s="159">
        <v>6</v>
      </c>
      <c r="I46" s="159">
        <v>6</v>
      </c>
      <c r="J46" s="234"/>
    </row>
    <row r="47" spans="1:14" s="1" customFormat="1" ht="75">
      <c r="A47" s="231" t="s">
        <v>81</v>
      </c>
      <c r="B47" s="141">
        <v>1060</v>
      </c>
      <c r="C47" s="188"/>
      <c r="D47" s="159">
        <v>44</v>
      </c>
      <c r="E47" s="159">
        <v>6</v>
      </c>
      <c r="F47" s="159"/>
      <c r="G47" s="159"/>
      <c r="H47" s="159"/>
      <c r="I47" s="159"/>
      <c r="J47" s="234"/>
    </row>
    <row r="48" spans="1:14" s="1" customFormat="1" ht="20.100000000000001" customHeight="1">
      <c r="A48" s="231" t="s">
        <v>52</v>
      </c>
      <c r="B48" s="141">
        <v>1061</v>
      </c>
      <c r="C48" s="188"/>
      <c r="D48" s="159"/>
      <c r="E48" s="159"/>
      <c r="F48" s="159">
        <v>0</v>
      </c>
      <c r="G48" s="159">
        <v>0</v>
      </c>
      <c r="H48" s="159">
        <v>0</v>
      </c>
      <c r="I48" s="159">
        <v>0</v>
      </c>
      <c r="J48" s="234"/>
    </row>
    <row r="49" spans="1:10" s="1" customFormat="1" ht="37.5">
      <c r="A49" s="231" t="s">
        <v>123</v>
      </c>
      <c r="B49" s="141">
        <v>1062</v>
      </c>
      <c r="C49" s="188">
        <f t="shared" ref="C49:D49" si="5">SUM(C50:C53)</f>
        <v>117</v>
      </c>
      <c r="D49" s="159">
        <f t="shared" si="5"/>
        <v>165</v>
      </c>
      <c r="E49" s="159">
        <f>SUM(E50:E54)</f>
        <v>205</v>
      </c>
      <c r="F49" s="159">
        <f>SUM(F50:F54)</f>
        <v>46</v>
      </c>
      <c r="G49" s="159">
        <f>SUM(G50:G54)</f>
        <v>94</v>
      </c>
      <c r="H49" s="159">
        <f>SUM(H50:H54)</f>
        <v>142</v>
      </c>
      <c r="I49" s="159">
        <f>SUM(I50:I54)</f>
        <v>195</v>
      </c>
      <c r="J49" s="234"/>
    </row>
    <row r="50" spans="1:10" s="1" customFormat="1" ht="56.25">
      <c r="A50" s="231" t="s">
        <v>431</v>
      </c>
      <c r="B50" s="141" t="s">
        <v>412</v>
      </c>
      <c r="C50" s="188">
        <v>86</v>
      </c>
      <c r="D50" s="159">
        <v>101</v>
      </c>
      <c r="E50" s="159">
        <v>152</v>
      </c>
      <c r="F50" s="159">
        <v>39</v>
      </c>
      <c r="G50" s="159">
        <v>78</v>
      </c>
      <c r="H50" s="159">
        <v>117</v>
      </c>
      <c r="I50" s="159">
        <v>156</v>
      </c>
      <c r="J50" s="234"/>
    </row>
    <row r="51" spans="1:10" s="1" customFormat="1">
      <c r="A51" s="231" t="s">
        <v>414</v>
      </c>
      <c r="B51" s="141" t="s">
        <v>413</v>
      </c>
      <c r="C51" s="188">
        <v>12</v>
      </c>
      <c r="D51" s="159">
        <v>6</v>
      </c>
      <c r="E51" s="159">
        <v>14</v>
      </c>
      <c r="F51" s="159">
        <v>3</v>
      </c>
      <c r="G51" s="159">
        <v>7</v>
      </c>
      <c r="H51" s="159">
        <v>11</v>
      </c>
      <c r="I51" s="159">
        <v>15</v>
      </c>
      <c r="J51" s="234"/>
    </row>
    <row r="52" spans="1:10" s="1" customFormat="1" ht="37.5">
      <c r="A52" s="231" t="s">
        <v>432</v>
      </c>
      <c r="B52" s="141" t="s">
        <v>415</v>
      </c>
      <c r="C52" s="188">
        <v>19</v>
      </c>
      <c r="D52" s="159">
        <v>53</v>
      </c>
      <c r="E52" s="159">
        <v>30</v>
      </c>
      <c r="F52" s="159">
        <v>2</v>
      </c>
      <c r="G52" s="159">
        <v>6</v>
      </c>
      <c r="H52" s="159">
        <v>10</v>
      </c>
      <c r="I52" s="159">
        <v>20</v>
      </c>
      <c r="J52" s="234"/>
    </row>
    <row r="53" spans="1:10" s="1" customFormat="1" ht="37.5">
      <c r="A53" s="231" t="s">
        <v>521</v>
      </c>
      <c r="B53" s="141" t="s">
        <v>433</v>
      </c>
      <c r="C53" s="188"/>
      <c r="D53" s="159">
        <v>5</v>
      </c>
      <c r="E53" s="159">
        <v>3</v>
      </c>
      <c r="F53" s="159">
        <v>1</v>
      </c>
      <c r="G53" s="159">
        <v>2</v>
      </c>
      <c r="H53" s="159">
        <v>3</v>
      </c>
      <c r="I53" s="159">
        <v>3</v>
      </c>
      <c r="J53" s="234"/>
    </row>
    <row r="54" spans="1:10" s="1" customFormat="1" ht="42.75" customHeight="1">
      <c r="A54" s="261" t="s">
        <v>522</v>
      </c>
      <c r="B54" s="141" t="s">
        <v>523</v>
      </c>
      <c r="C54" s="281"/>
      <c r="D54" s="262"/>
      <c r="E54" s="262">
        <v>6</v>
      </c>
      <c r="F54" s="262">
        <v>1</v>
      </c>
      <c r="G54" s="262">
        <v>1</v>
      </c>
      <c r="H54" s="262">
        <v>1</v>
      </c>
      <c r="I54" s="262">
        <v>1</v>
      </c>
      <c r="J54" s="263"/>
    </row>
    <row r="55" spans="1:10" ht="20.100000000000001" customHeight="1">
      <c r="A55" s="231" t="s">
        <v>242</v>
      </c>
      <c r="B55" s="141">
        <v>1070</v>
      </c>
      <c r="C55" s="278">
        <f>SUM(C56:C61)</f>
        <v>0</v>
      </c>
      <c r="D55" s="179">
        <f t="shared" ref="D55:I55" si="6">SUM(D56:D61)</f>
        <v>0</v>
      </c>
      <c r="E55" s="179">
        <f t="shared" si="6"/>
        <v>0</v>
      </c>
      <c r="F55" s="179">
        <f t="shared" si="6"/>
        <v>0</v>
      </c>
      <c r="G55" s="179">
        <f t="shared" si="6"/>
        <v>0</v>
      </c>
      <c r="H55" s="179">
        <f t="shared" si="6"/>
        <v>0</v>
      </c>
      <c r="I55" s="179">
        <f t="shared" si="6"/>
        <v>0</v>
      </c>
      <c r="J55" s="234"/>
    </row>
    <row r="56" spans="1:10" s="1" customFormat="1" ht="20.100000000000001" customHeight="1">
      <c r="A56" s="231" t="s">
        <v>202</v>
      </c>
      <c r="B56" s="141">
        <v>1071</v>
      </c>
      <c r="C56" s="188"/>
      <c r="D56" s="159"/>
      <c r="E56" s="159"/>
      <c r="F56" s="159"/>
      <c r="G56" s="159"/>
      <c r="H56" s="159"/>
      <c r="I56" s="159"/>
      <c r="J56" s="234"/>
    </row>
    <row r="57" spans="1:10" s="1" customFormat="1" ht="20.100000000000001" customHeight="1">
      <c r="A57" s="231" t="s">
        <v>203</v>
      </c>
      <c r="B57" s="141">
        <v>1072</v>
      </c>
      <c r="C57" s="188"/>
      <c r="D57" s="159"/>
      <c r="E57" s="159"/>
      <c r="F57" s="159"/>
      <c r="G57" s="159"/>
      <c r="H57" s="159"/>
      <c r="I57" s="159"/>
      <c r="J57" s="234"/>
    </row>
    <row r="58" spans="1:10" s="1" customFormat="1" ht="20.100000000000001" customHeight="1">
      <c r="A58" s="231" t="s">
        <v>42</v>
      </c>
      <c r="B58" s="141">
        <v>1073</v>
      </c>
      <c r="C58" s="188"/>
      <c r="D58" s="159"/>
      <c r="E58" s="159"/>
      <c r="F58" s="159"/>
      <c r="G58" s="159"/>
      <c r="H58" s="159"/>
      <c r="I58" s="159"/>
      <c r="J58" s="234"/>
    </row>
    <row r="59" spans="1:10" s="1" customFormat="1" ht="37.5">
      <c r="A59" s="231" t="s">
        <v>65</v>
      </c>
      <c r="B59" s="141">
        <v>1074</v>
      </c>
      <c r="C59" s="188"/>
      <c r="D59" s="159"/>
      <c r="E59" s="159"/>
      <c r="F59" s="159"/>
      <c r="G59" s="159"/>
      <c r="H59" s="159"/>
      <c r="I59" s="159"/>
      <c r="J59" s="234"/>
    </row>
    <row r="60" spans="1:10" s="1" customFormat="1" ht="20.100000000000001" customHeight="1">
      <c r="A60" s="231" t="s">
        <v>84</v>
      </c>
      <c r="B60" s="141">
        <v>1075</v>
      </c>
      <c r="C60" s="188"/>
      <c r="D60" s="159"/>
      <c r="E60" s="159"/>
      <c r="F60" s="159"/>
      <c r="G60" s="159"/>
      <c r="H60" s="159"/>
      <c r="I60" s="159"/>
      <c r="J60" s="234"/>
    </row>
    <row r="61" spans="1:10" s="1" customFormat="1" ht="20.100000000000001" customHeight="1">
      <c r="A61" s="231" t="s">
        <v>138</v>
      </c>
      <c r="B61" s="141">
        <v>1076</v>
      </c>
      <c r="C61" s="188"/>
      <c r="D61" s="159"/>
      <c r="E61" s="159"/>
      <c r="F61" s="159"/>
      <c r="G61" s="159"/>
      <c r="H61" s="159"/>
      <c r="I61" s="159"/>
      <c r="J61" s="234"/>
    </row>
    <row r="62" spans="1:10" s="1" customFormat="1" ht="20.100000000000001" customHeight="1">
      <c r="A62" s="231" t="s">
        <v>43</v>
      </c>
      <c r="B62" s="233" t="s">
        <v>398</v>
      </c>
      <c r="C62" s="188"/>
      <c r="D62" s="159"/>
      <c r="E62" s="159"/>
      <c r="F62" s="159"/>
      <c r="G62" s="159"/>
      <c r="H62" s="159"/>
      <c r="I62" s="159"/>
      <c r="J62" s="234"/>
    </row>
    <row r="63" spans="1:10" s="1" customFormat="1" ht="37.5">
      <c r="A63" s="184" t="s">
        <v>86</v>
      </c>
      <c r="B63" s="141">
        <v>1080</v>
      </c>
      <c r="C63" s="278">
        <f>SUM(C64:C68)</f>
        <v>0</v>
      </c>
      <c r="D63" s="179">
        <f t="shared" ref="D63:I63" si="7">SUM(D64:D68)</f>
        <v>0</v>
      </c>
      <c r="E63" s="179">
        <f t="shared" si="7"/>
        <v>320</v>
      </c>
      <c r="F63" s="179">
        <f t="shared" si="7"/>
        <v>0</v>
      </c>
      <c r="G63" s="179">
        <f t="shared" si="7"/>
        <v>0</v>
      </c>
      <c r="H63" s="179">
        <f t="shared" si="7"/>
        <v>0</v>
      </c>
      <c r="I63" s="179">
        <f t="shared" si="7"/>
        <v>0</v>
      </c>
      <c r="J63" s="234"/>
    </row>
    <row r="64" spans="1:10" s="1" customFormat="1" ht="20.100000000000001" customHeight="1">
      <c r="A64" s="231" t="s">
        <v>75</v>
      </c>
      <c r="B64" s="141">
        <v>1081</v>
      </c>
      <c r="C64" s="188"/>
      <c r="D64" s="159"/>
      <c r="E64" s="159"/>
      <c r="F64" s="159"/>
      <c r="G64" s="159"/>
      <c r="H64" s="159"/>
      <c r="I64" s="159"/>
      <c r="J64" s="234"/>
    </row>
    <row r="65" spans="1:10" s="1" customFormat="1" ht="37.5">
      <c r="A65" s="231" t="s">
        <v>53</v>
      </c>
      <c r="B65" s="141">
        <v>1082</v>
      </c>
      <c r="C65" s="188"/>
      <c r="D65" s="159"/>
      <c r="E65" s="159"/>
      <c r="F65" s="159"/>
      <c r="G65" s="159"/>
      <c r="H65" s="159"/>
      <c r="I65" s="159"/>
      <c r="J65" s="234"/>
    </row>
    <row r="66" spans="1:10" s="1" customFormat="1" ht="37.5">
      <c r="A66" s="231" t="s">
        <v>63</v>
      </c>
      <c r="B66" s="141">
        <v>1083</v>
      </c>
      <c r="C66" s="188"/>
      <c r="D66" s="159"/>
      <c r="E66" s="159"/>
      <c r="F66" s="159"/>
      <c r="G66" s="159"/>
      <c r="H66" s="159"/>
      <c r="I66" s="159"/>
      <c r="J66" s="234"/>
    </row>
    <row r="67" spans="1:10" s="1" customFormat="1" ht="20.100000000000001" customHeight="1">
      <c r="A67" s="231" t="s">
        <v>234</v>
      </c>
      <c r="B67" s="141">
        <v>1084</v>
      </c>
      <c r="C67" s="188"/>
      <c r="D67" s="159"/>
      <c r="E67" s="159"/>
      <c r="F67" s="159"/>
      <c r="G67" s="159"/>
      <c r="H67" s="159"/>
      <c r="I67" s="159"/>
      <c r="J67" s="234"/>
    </row>
    <row r="68" spans="1:10" s="1" customFormat="1" ht="20.100000000000001" customHeight="1">
      <c r="A68" s="231" t="s">
        <v>263</v>
      </c>
      <c r="B68" s="141">
        <v>1085</v>
      </c>
      <c r="C68" s="188">
        <f>C69+C70+C71+C72+C73+C75</f>
        <v>0</v>
      </c>
      <c r="D68" s="159">
        <f t="shared" ref="D68" si="8">D69+D70+D71+D72+D73+D75</f>
        <v>0</v>
      </c>
      <c r="E68" s="159">
        <f>E69+E70+E71+E72+E73+E75+E74</f>
        <v>320</v>
      </c>
      <c r="F68" s="159">
        <f t="shared" ref="F68:I68" si="9">F69+F70+F71+F72+F73+F75+F74</f>
        <v>0</v>
      </c>
      <c r="G68" s="159">
        <f t="shared" si="9"/>
        <v>0</v>
      </c>
      <c r="H68" s="159">
        <f t="shared" si="9"/>
        <v>0</v>
      </c>
      <c r="I68" s="159">
        <f t="shared" si="9"/>
        <v>0</v>
      </c>
      <c r="J68" s="234"/>
    </row>
    <row r="69" spans="1:10" s="1" customFormat="1" ht="20.100000000000001" customHeight="1">
      <c r="A69" s="208" t="s">
        <v>510</v>
      </c>
      <c r="B69" s="211" t="s">
        <v>470</v>
      </c>
      <c r="C69" s="282"/>
      <c r="D69" s="209"/>
      <c r="E69" s="209">
        <v>320</v>
      </c>
      <c r="F69" s="209"/>
      <c r="G69" s="209"/>
      <c r="H69" s="209"/>
      <c r="I69" s="209"/>
      <c r="J69" s="210"/>
    </row>
    <row r="70" spans="1:10" s="1" customFormat="1" ht="20.100000000000001" customHeight="1">
      <c r="A70" s="261" t="s">
        <v>511</v>
      </c>
      <c r="B70" s="211" t="s">
        <v>504</v>
      </c>
      <c r="C70" s="281"/>
      <c r="D70" s="262"/>
      <c r="E70" s="262"/>
      <c r="F70" s="262"/>
      <c r="G70" s="262"/>
      <c r="H70" s="262"/>
      <c r="I70" s="262"/>
      <c r="J70" s="263"/>
    </row>
    <row r="71" spans="1:10" s="1" customFormat="1" ht="20.100000000000001" customHeight="1">
      <c r="A71" s="261" t="s">
        <v>512</v>
      </c>
      <c r="B71" s="211" t="s">
        <v>505</v>
      </c>
      <c r="C71" s="281"/>
      <c r="D71" s="262"/>
      <c r="E71" s="262"/>
      <c r="F71" s="262"/>
      <c r="G71" s="262"/>
      <c r="H71" s="262"/>
      <c r="I71" s="262"/>
      <c r="J71" s="263"/>
    </row>
    <row r="72" spans="1:10" s="1" customFormat="1" ht="20.100000000000001" customHeight="1">
      <c r="A72" s="261" t="s">
        <v>513</v>
      </c>
      <c r="B72" s="211" t="s">
        <v>506</v>
      </c>
      <c r="C72" s="281"/>
      <c r="D72" s="262"/>
      <c r="E72" s="262"/>
      <c r="F72" s="262"/>
      <c r="G72" s="262"/>
      <c r="H72" s="262"/>
      <c r="I72" s="262"/>
      <c r="J72" s="263"/>
    </row>
    <row r="73" spans="1:10" s="1" customFormat="1" ht="38.25" customHeight="1">
      <c r="A73" s="261" t="s">
        <v>514</v>
      </c>
      <c r="B73" s="211" t="s">
        <v>507</v>
      </c>
      <c r="C73" s="281"/>
      <c r="D73" s="262"/>
      <c r="E73" s="262"/>
      <c r="F73" s="262"/>
      <c r="G73" s="262"/>
      <c r="H73" s="262"/>
      <c r="I73" s="262"/>
      <c r="J73" s="263"/>
    </row>
    <row r="74" spans="1:10" s="1" customFormat="1" ht="38.25" customHeight="1">
      <c r="A74" s="261" t="s">
        <v>65</v>
      </c>
      <c r="B74" s="211" t="s">
        <v>508</v>
      </c>
      <c r="C74" s="281"/>
      <c r="D74" s="262"/>
      <c r="E74" s="281"/>
      <c r="F74" s="281"/>
      <c r="G74" s="281"/>
      <c r="H74" s="281"/>
      <c r="I74" s="281"/>
      <c r="J74" s="334"/>
    </row>
    <row r="75" spans="1:10" s="1" customFormat="1" ht="20.100000000000001" customHeight="1">
      <c r="A75" s="261" t="s">
        <v>515</v>
      </c>
      <c r="B75" s="211" t="s">
        <v>509</v>
      </c>
      <c r="C75" s="281"/>
      <c r="D75" s="262"/>
      <c r="E75" s="262"/>
      <c r="F75" s="262"/>
      <c r="G75" s="262"/>
      <c r="H75" s="262"/>
      <c r="I75" s="262"/>
      <c r="J75" s="263"/>
    </row>
    <row r="76" spans="1:10" s="5" customFormat="1" ht="37.5">
      <c r="A76" s="140" t="s">
        <v>4</v>
      </c>
      <c r="B76" s="183">
        <v>1100</v>
      </c>
      <c r="C76" s="278">
        <f t="shared" ref="C76:I76" si="10">C22+C23-C27-C55-C63</f>
        <v>-3290</v>
      </c>
      <c r="D76" s="179">
        <f t="shared" si="10"/>
        <v>-4510</v>
      </c>
      <c r="E76" s="179">
        <f t="shared" si="10"/>
        <v>-14007</v>
      </c>
      <c r="F76" s="179">
        <f t="shared" si="10"/>
        <v>-5123</v>
      </c>
      <c r="G76" s="179">
        <f t="shared" si="10"/>
        <v>-10743</v>
      </c>
      <c r="H76" s="179">
        <f t="shared" si="10"/>
        <v>-16548</v>
      </c>
      <c r="I76" s="179">
        <f t="shared" si="10"/>
        <v>-22363</v>
      </c>
      <c r="J76" s="126"/>
    </row>
    <row r="77" spans="1:10" ht="37.5">
      <c r="A77" s="231" t="s">
        <v>121</v>
      </c>
      <c r="B77" s="141">
        <v>1110</v>
      </c>
      <c r="C77" s="188"/>
      <c r="D77" s="159"/>
      <c r="E77" s="159"/>
      <c r="F77" s="159"/>
      <c r="G77" s="159"/>
      <c r="H77" s="159"/>
      <c r="I77" s="159"/>
      <c r="J77" s="234"/>
    </row>
    <row r="78" spans="1:10" ht="20.100000000000001" customHeight="1">
      <c r="A78" s="231" t="s">
        <v>122</v>
      </c>
      <c r="B78" s="141">
        <v>1120</v>
      </c>
      <c r="C78" s="188"/>
      <c r="D78" s="159"/>
      <c r="E78" s="159"/>
      <c r="F78" s="159"/>
      <c r="G78" s="159"/>
      <c r="H78" s="159"/>
      <c r="I78" s="159"/>
      <c r="J78" s="234"/>
    </row>
    <row r="79" spans="1:10" ht="37.5">
      <c r="A79" s="231" t="s">
        <v>125</v>
      </c>
      <c r="B79" s="141">
        <v>1130</v>
      </c>
      <c r="C79" s="188"/>
      <c r="D79" s="159"/>
      <c r="E79" s="159"/>
      <c r="F79" s="159"/>
      <c r="G79" s="159"/>
      <c r="H79" s="159"/>
      <c r="I79" s="159"/>
      <c r="J79" s="234"/>
    </row>
    <row r="80" spans="1:10" ht="20.100000000000001" customHeight="1">
      <c r="A80" s="231" t="s">
        <v>124</v>
      </c>
      <c r="B80" s="141">
        <v>1140</v>
      </c>
      <c r="C80" s="188"/>
      <c r="D80" s="159"/>
      <c r="E80" s="159"/>
      <c r="F80" s="159"/>
      <c r="G80" s="159"/>
      <c r="H80" s="159"/>
      <c r="I80" s="159"/>
      <c r="J80" s="234"/>
    </row>
    <row r="81" spans="1:10" ht="37.5">
      <c r="A81" s="231" t="s">
        <v>235</v>
      </c>
      <c r="B81" s="141">
        <v>1150</v>
      </c>
      <c r="C81" s="188">
        <f>C82</f>
        <v>0</v>
      </c>
      <c r="D81" s="159"/>
      <c r="E81" s="159">
        <v>422</v>
      </c>
      <c r="F81" s="159"/>
      <c r="G81" s="159"/>
      <c r="H81" s="159"/>
      <c r="I81" s="159"/>
      <c r="J81" s="234"/>
    </row>
    <row r="82" spans="1:10" s="187" customFormat="1">
      <c r="A82" s="231" t="s">
        <v>409</v>
      </c>
      <c r="B82" s="233" t="s">
        <v>410</v>
      </c>
      <c r="C82" s="188"/>
      <c r="D82" s="159"/>
      <c r="E82" s="159">
        <v>422</v>
      </c>
      <c r="F82" s="159"/>
      <c r="G82" s="159"/>
      <c r="H82" s="159"/>
      <c r="I82" s="159"/>
      <c r="J82" s="234"/>
    </row>
    <row r="83" spans="1:10" ht="20.100000000000001" customHeight="1">
      <c r="A83" s="231" t="s">
        <v>234</v>
      </c>
      <c r="B83" s="141">
        <v>1151</v>
      </c>
      <c r="C83" s="188"/>
      <c r="D83" s="159"/>
      <c r="E83" s="159"/>
      <c r="F83" s="159"/>
      <c r="G83" s="159"/>
      <c r="H83" s="159"/>
      <c r="I83" s="159"/>
      <c r="J83" s="234"/>
    </row>
    <row r="84" spans="1:10" ht="37.5">
      <c r="A84" s="231" t="s">
        <v>236</v>
      </c>
      <c r="B84" s="141">
        <v>1160</v>
      </c>
      <c r="C84" s="188"/>
      <c r="D84" s="159"/>
      <c r="E84" s="159"/>
      <c r="F84" s="159"/>
      <c r="G84" s="159"/>
      <c r="H84" s="159"/>
      <c r="I84" s="159"/>
      <c r="J84" s="234"/>
    </row>
    <row r="85" spans="1:10" ht="20.100000000000001" customHeight="1">
      <c r="A85" s="231" t="s">
        <v>234</v>
      </c>
      <c r="B85" s="141">
        <v>1161</v>
      </c>
      <c r="C85" s="188"/>
      <c r="D85" s="159"/>
      <c r="E85" s="159"/>
      <c r="F85" s="159"/>
      <c r="G85" s="159"/>
      <c r="H85" s="159"/>
      <c r="I85" s="159"/>
      <c r="J85" s="234"/>
    </row>
    <row r="86" spans="1:10" s="5" customFormat="1" ht="37.5">
      <c r="A86" s="140" t="s">
        <v>105</v>
      </c>
      <c r="B86" s="183">
        <v>1170</v>
      </c>
      <c r="C86" s="283">
        <f>C76+C77+C78+C81-C80-C79-C84</f>
        <v>-3290</v>
      </c>
      <c r="D86" s="160">
        <f t="shared" ref="D86:I86" si="11">D76+D77+D78+D81-D80-D79-D84</f>
        <v>-4510</v>
      </c>
      <c r="E86" s="160">
        <f t="shared" si="11"/>
        <v>-13585</v>
      </c>
      <c r="F86" s="160">
        <f>F76+F77+F78+F81-F80-F79-F84</f>
        <v>-5123</v>
      </c>
      <c r="G86" s="160">
        <f t="shared" si="11"/>
        <v>-10743</v>
      </c>
      <c r="H86" s="160">
        <f t="shared" si="11"/>
        <v>-16548</v>
      </c>
      <c r="I86" s="160">
        <f t="shared" si="11"/>
        <v>-22363</v>
      </c>
      <c r="J86" s="126"/>
    </row>
    <row r="87" spans="1:10" ht="20.100000000000001" customHeight="1">
      <c r="A87" s="231" t="s">
        <v>153</v>
      </c>
      <c r="B87" s="141">
        <v>1180</v>
      </c>
      <c r="C87" s="188"/>
      <c r="D87" s="159"/>
      <c r="E87" s="159"/>
      <c r="F87" s="179"/>
      <c r="G87" s="179"/>
      <c r="H87" s="179"/>
      <c r="I87" s="179"/>
      <c r="J87" s="234"/>
    </row>
    <row r="88" spans="1:10" ht="37.5">
      <c r="A88" s="231" t="s">
        <v>154</v>
      </c>
      <c r="B88" s="141">
        <v>1190</v>
      </c>
      <c r="C88" s="188"/>
      <c r="D88" s="159"/>
      <c r="E88" s="159"/>
      <c r="F88" s="159"/>
      <c r="G88" s="159"/>
      <c r="H88" s="159"/>
      <c r="I88" s="159"/>
      <c r="J88" s="234"/>
    </row>
    <row r="89" spans="1:10" s="5" customFormat="1" ht="37.5">
      <c r="A89" s="140" t="s">
        <v>106</v>
      </c>
      <c r="B89" s="183">
        <v>1200</v>
      </c>
      <c r="C89" s="283">
        <f>C86-C87-C88</f>
        <v>-3290</v>
      </c>
      <c r="D89" s="160">
        <f t="shared" ref="D89:I89" si="12">D86-D87-D88</f>
        <v>-4510</v>
      </c>
      <c r="E89" s="160">
        <f t="shared" si="12"/>
        <v>-13585</v>
      </c>
      <c r="F89" s="160">
        <f t="shared" si="12"/>
        <v>-5123</v>
      </c>
      <c r="G89" s="160">
        <f t="shared" si="12"/>
        <v>-10743</v>
      </c>
      <c r="H89" s="160">
        <f t="shared" si="12"/>
        <v>-16548</v>
      </c>
      <c r="I89" s="160">
        <f t="shared" si="12"/>
        <v>-22363</v>
      </c>
      <c r="J89" s="126"/>
    </row>
    <row r="90" spans="1:10" ht="20.100000000000001" customHeight="1">
      <c r="A90" s="231" t="s">
        <v>24</v>
      </c>
      <c r="B90" s="233">
        <v>1201</v>
      </c>
      <c r="C90" s="283">
        <f>SUMIF(C89,"&gt;0")</f>
        <v>0</v>
      </c>
      <c r="D90" s="160">
        <f t="shared" ref="D90:I90" si="13">SUMIF(D89,"&gt;0")</f>
        <v>0</v>
      </c>
      <c r="E90" s="160">
        <f t="shared" si="13"/>
        <v>0</v>
      </c>
      <c r="F90" s="160">
        <f t="shared" si="13"/>
        <v>0</v>
      </c>
      <c r="G90" s="160">
        <f t="shared" si="13"/>
        <v>0</v>
      </c>
      <c r="H90" s="160">
        <f t="shared" si="13"/>
        <v>0</v>
      </c>
      <c r="I90" s="160">
        <f t="shared" si="13"/>
        <v>0</v>
      </c>
      <c r="J90" s="234"/>
    </row>
    <row r="91" spans="1:10" ht="20.100000000000001" customHeight="1">
      <c r="A91" s="231" t="s">
        <v>25</v>
      </c>
      <c r="B91" s="233">
        <v>1202</v>
      </c>
      <c r="C91" s="283">
        <f>SUMIF(C89,"&lt;0")</f>
        <v>-3290</v>
      </c>
      <c r="D91" s="160">
        <f t="shared" ref="D91:I91" si="14">SUMIF(D89,"&lt;0")</f>
        <v>-4510</v>
      </c>
      <c r="E91" s="160">
        <f t="shared" si="14"/>
        <v>-13585</v>
      </c>
      <c r="F91" s="160">
        <f t="shared" si="14"/>
        <v>-5123</v>
      </c>
      <c r="G91" s="160">
        <f t="shared" si="14"/>
        <v>-10743</v>
      </c>
      <c r="H91" s="160">
        <f t="shared" si="14"/>
        <v>-16548</v>
      </c>
      <c r="I91" s="160">
        <f t="shared" si="14"/>
        <v>-22363</v>
      </c>
      <c r="J91" s="234"/>
    </row>
    <row r="92" spans="1:10" ht="19.5" customHeight="1">
      <c r="A92" s="231" t="s">
        <v>264</v>
      </c>
      <c r="B92" s="141">
        <v>1210</v>
      </c>
      <c r="C92" s="188"/>
      <c r="D92" s="159"/>
      <c r="E92" s="159"/>
      <c r="F92" s="159"/>
      <c r="G92" s="159"/>
      <c r="H92" s="159"/>
      <c r="I92" s="159"/>
      <c r="J92" s="234"/>
    </row>
    <row r="93" spans="1:10" s="5" customFormat="1" ht="20.100000000000001" customHeight="1">
      <c r="A93" s="404" t="s">
        <v>308</v>
      </c>
      <c r="B93" s="405"/>
      <c r="C93" s="405"/>
      <c r="D93" s="405"/>
      <c r="E93" s="405"/>
      <c r="F93" s="405"/>
      <c r="G93" s="405"/>
      <c r="H93" s="405"/>
      <c r="I93" s="405"/>
      <c r="J93" s="406"/>
    </row>
    <row r="94" spans="1:10" ht="42.75" customHeight="1">
      <c r="A94" s="178" t="s">
        <v>285</v>
      </c>
      <c r="B94" s="223">
        <v>1300</v>
      </c>
      <c r="C94" s="278">
        <f t="shared" ref="C94:I94" si="15">C23-C63</f>
        <v>354</v>
      </c>
      <c r="D94" s="179">
        <f t="shared" si="15"/>
        <v>0</v>
      </c>
      <c r="E94" s="179">
        <f t="shared" si="15"/>
        <v>-320</v>
      </c>
      <c r="F94" s="179">
        <f t="shared" si="15"/>
        <v>0</v>
      </c>
      <c r="G94" s="179">
        <f t="shared" si="15"/>
        <v>0</v>
      </c>
      <c r="H94" s="179">
        <f t="shared" si="15"/>
        <v>0</v>
      </c>
      <c r="I94" s="179">
        <f t="shared" si="15"/>
        <v>0</v>
      </c>
      <c r="J94" s="234"/>
    </row>
    <row r="95" spans="1:10" ht="75">
      <c r="A95" s="230" t="s">
        <v>279</v>
      </c>
      <c r="B95" s="223">
        <v>1310</v>
      </c>
      <c r="C95" s="278">
        <f t="shared" ref="C95:I95" si="16">C77+C78-C79-C80</f>
        <v>0</v>
      </c>
      <c r="D95" s="179">
        <f t="shared" si="16"/>
        <v>0</v>
      </c>
      <c r="E95" s="179">
        <f t="shared" si="16"/>
        <v>0</v>
      </c>
      <c r="F95" s="179">
        <f t="shared" si="16"/>
        <v>0</v>
      </c>
      <c r="G95" s="179">
        <f t="shared" si="16"/>
        <v>0</v>
      </c>
      <c r="H95" s="179">
        <f t="shared" si="16"/>
        <v>0</v>
      </c>
      <c r="I95" s="179">
        <f t="shared" si="16"/>
        <v>0</v>
      </c>
      <c r="J95" s="234"/>
    </row>
    <row r="96" spans="1:10" ht="42.75" customHeight="1">
      <c r="A96" s="178" t="s">
        <v>280</v>
      </c>
      <c r="B96" s="223">
        <v>1320</v>
      </c>
      <c r="C96" s="278">
        <f>C81-C84</f>
        <v>0</v>
      </c>
      <c r="D96" s="179">
        <f t="shared" ref="D96:I96" si="17">D81-D84</f>
        <v>0</v>
      </c>
      <c r="E96" s="179">
        <f t="shared" si="17"/>
        <v>422</v>
      </c>
      <c r="F96" s="179">
        <f t="shared" si="17"/>
        <v>0</v>
      </c>
      <c r="G96" s="179">
        <f t="shared" si="17"/>
        <v>0</v>
      </c>
      <c r="H96" s="179">
        <f t="shared" si="17"/>
        <v>0</v>
      </c>
      <c r="I96" s="179">
        <f t="shared" si="17"/>
        <v>0</v>
      </c>
      <c r="J96" s="234"/>
    </row>
    <row r="97" spans="1:16" ht="56.25">
      <c r="A97" s="230" t="s">
        <v>366</v>
      </c>
      <c r="B97" s="176">
        <v>1330</v>
      </c>
      <c r="C97" s="278">
        <f t="shared" ref="C97:I97" si="18">C7+C23+C77+C78+C81</f>
        <v>354</v>
      </c>
      <c r="D97" s="179">
        <f t="shared" si="18"/>
        <v>0</v>
      </c>
      <c r="E97" s="179">
        <f t="shared" si="18"/>
        <v>422</v>
      </c>
      <c r="F97" s="179">
        <f t="shared" si="18"/>
        <v>0</v>
      </c>
      <c r="G97" s="179">
        <f t="shared" si="18"/>
        <v>0</v>
      </c>
      <c r="H97" s="179">
        <f t="shared" si="18"/>
        <v>0</v>
      </c>
      <c r="I97" s="179">
        <f t="shared" si="18"/>
        <v>0</v>
      </c>
      <c r="J97" s="234"/>
    </row>
    <row r="98" spans="1:16" ht="75">
      <c r="A98" s="230" t="s">
        <v>367</v>
      </c>
      <c r="B98" s="176">
        <v>1340</v>
      </c>
      <c r="C98" s="278">
        <f t="shared" ref="C98:I98" si="19">C9+C27+C55+C63+C79+C80+C84+C87+C88</f>
        <v>3644</v>
      </c>
      <c r="D98" s="179">
        <f t="shared" si="19"/>
        <v>4510</v>
      </c>
      <c r="E98" s="179">
        <f t="shared" si="19"/>
        <v>14007</v>
      </c>
      <c r="F98" s="179">
        <f t="shared" si="19"/>
        <v>5123</v>
      </c>
      <c r="G98" s="179">
        <f t="shared" si="19"/>
        <v>10743</v>
      </c>
      <c r="H98" s="179">
        <f t="shared" si="19"/>
        <v>16548</v>
      </c>
      <c r="I98" s="179">
        <f t="shared" si="19"/>
        <v>22363</v>
      </c>
      <c r="J98" s="234"/>
    </row>
    <row r="99" spans="1:16" ht="20.100000000000001" customHeight="1">
      <c r="A99" s="404" t="s">
        <v>183</v>
      </c>
      <c r="B99" s="405"/>
      <c r="C99" s="405"/>
      <c r="D99" s="405"/>
      <c r="E99" s="405"/>
      <c r="F99" s="405"/>
      <c r="G99" s="405"/>
      <c r="H99" s="405"/>
      <c r="I99" s="405"/>
      <c r="J99" s="406"/>
    </row>
    <row r="100" spans="1:16" ht="37.5">
      <c r="A100" s="230" t="s">
        <v>281</v>
      </c>
      <c r="B100" s="176">
        <v>1400</v>
      </c>
      <c r="C100" s="278">
        <v>-2936</v>
      </c>
      <c r="D100" s="179">
        <f t="shared" ref="D100:I100" si="20">D76</f>
        <v>-4510</v>
      </c>
      <c r="E100" s="179">
        <f t="shared" si="20"/>
        <v>-14007</v>
      </c>
      <c r="F100" s="179">
        <f t="shared" si="20"/>
        <v>-5123</v>
      </c>
      <c r="G100" s="179">
        <f t="shared" si="20"/>
        <v>-10743</v>
      </c>
      <c r="H100" s="179">
        <f t="shared" si="20"/>
        <v>-16548</v>
      </c>
      <c r="I100" s="179">
        <f t="shared" si="20"/>
        <v>-22363</v>
      </c>
      <c r="J100" s="234"/>
    </row>
    <row r="101" spans="1:16">
      <c r="A101" s="230" t="s">
        <v>282</v>
      </c>
      <c r="B101" s="176">
        <v>1401</v>
      </c>
      <c r="C101" s="179">
        <f t="shared" ref="C101:I101" si="21">C112</f>
        <v>6</v>
      </c>
      <c r="D101" s="179">
        <f t="shared" si="21"/>
        <v>510</v>
      </c>
      <c r="E101" s="179">
        <v>3757</v>
      </c>
      <c r="F101" s="179">
        <f t="shared" si="21"/>
        <v>957</v>
      </c>
      <c r="G101" s="179">
        <f t="shared" si="21"/>
        <v>1904</v>
      </c>
      <c r="H101" s="179">
        <f t="shared" si="21"/>
        <v>2852</v>
      </c>
      <c r="I101" s="179">
        <f t="shared" si="21"/>
        <v>3803</v>
      </c>
      <c r="J101" s="234"/>
    </row>
    <row r="102" spans="1:16" ht="37.5">
      <c r="A102" s="230" t="s">
        <v>283</v>
      </c>
      <c r="B102" s="176">
        <v>1402</v>
      </c>
      <c r="C102" s="278">
        <f t="shared" ref="C102:I102" si="22">C26</f>
        <v>0</v>
      </c>
      <c r="D102" s="179">
        <f t="shared" si="22"/>
        <v>0</v>
      </c>
      <c r="E102" s="179">
        <f t="shared" si="22"/>
        <v>0</v>
      </c>
      <c r="F102" s="179">
        <f t="shared" si="22"/>
        <v>0</v>
      </c>
      <c r="G102" s="179">
        <f t="shared" si="22"/>
        <v>0</v>
      </c>
      <c r="H102" s="179">
        <f t="shared" si="22"/>
        <v>0</v>
      </c>
      <c r="I102" s="179">
        <f t="shared" si="22"/>
        <v>0</v>
      </c>
      <c r="J102" s="234"/>
    </row>
    <row r="103" spans="1:16" ht="37.5">
      <c r="A103" s="230" t="s">
        <v>284</v>
      </c>
      <c r="B103" s="176">
        <v>1403</v>
      </c>
      <c r="C103" s="278">
        <f t="shared" ref="C103:I103" si="23">C67</f>
        <v>0</v>
      </c>
      <c r="D103" s="179">
        <f t="shared" si="23"/>
        <v>0</v>
      </c>
      <c r="E103" s="179">
        <f t="shared" si="23"/>
        <v>0</v>
      </c>
      <c r="F103" s="179">
        <f t="shared" si="23"/>
        <v>0</v>
      </c>
      <c r="G103" s="179">
        <f t="shared" si="23"/>
        <v>0</v>
      </c>
      <c r="H103" s="179">
        <f t="shared" si="23"/>
        <v>0</v>
      </c>
      <c r="I103" s="179">
        <f t="shared" si="23"/>
        <v>0</v>
      </c>
      <c r="J103" s="234"/>
    </row>
    <row r="104" spans="1:16" ht="37.5">
      <c r="A104" s="230" t="s">
        <v>352</v>
      </c>
      <c r="B104" s="176">
        <v>1404</v>
      </c>
      <c r="C104" s="278"/>
      <c r="D104" s="179"/>
      <c r="E104" s="179"/>
      <c r="F104" s="179"/>
      <c r="G104" s="179"/>
      <c r="H104" s="179"/>
      <c r="I104" s="179"/>
      <c r="J104" s="234"/>
    </row>
    <row r="105" spans="1:16" s="5" customFormat="1" ht="20.100000000000001" customHeight="1">
      <c r="A105" s="96" t="s">
        <v>157</v>
      </c>
      <c r="B105" s="180">
        <v>1410</v>
      </c>
      <c r="C105" s="279">
        <f>C100+C101-C102+C103</f>
        <v>-2930</v>
      </c>
      <c r="D105" s="254">
        <f t="shared" ref="D105:I105" si="24">D100+D101-D102+D103</f>
        <v>-4000</v>
      </c>
      <c r="E105" s="254">
        <f t="shared" si="24"/>
        <v>-10250</v>
      </c>
      <c r="F105" s="254">
        <f t="shared" si="24"/>
        <v>-4166</v>
      </c>
      <c r="G105" s="254">
        <f t="shared" si="24"/>
        <v>-8839</v>
      </c>
      <c r="H105" s="254">
        <f t="shared" si="24"/>
        <v>-13696</v>
      </c>
      <c r="I105" s="254">
        <f t="shared" si="24"/>
        <v>-18560</v>
      </c>
      <c r="J105" s="126"/>
    </row>
    <row r="106" spans="1:16" ht="20.100000000000001" customHeight="1">
      <c r="A106" s="404" t="s">
        <v>251</v>
      </c>
      <c r="B106" s="405"/>
      <c r="C106" s="405"/>
      <c r="D106" s="405"/>
      <c r="E106" s="405"/>
      <c r="F106" s="405"/>
      <c r="G106" s="405"/>
      <c r="H106" s="405"/>
      <c r="I106" s="405"/>
      <c r="J106" s="406"/>
    </row>
    <row r="107" spans="1:16" ht="20.100000000000001" customHeight="1">
      <c r="A107" s="8" t="s">
        <v>309</v>
      </c>
      <c r="B107" s="68">
        <v>1500</v>
      </c>
      <c r="C107" s="188"/>
      <c r="D107" s="159"/>
      <c r="E107" s="159"/>
      <c r="F107" s="159"/>
      <c r="G107" s="159"/>
      <c r="H107" s="159"/>
      <c r="I107" s="159"/>
      <c r="J107" s="234"/>
    </row>
    <row r="108" spans="1:16" ht="37.5" customHeight="1">
      <c r="A108" s="8" t="s">
        <v>307</v>
      </c>
      <c r="B108" s="228">
        <v>1501</v>
      </c>
      <c r="C108" s="188"/>
      <c r="D108" s="159"/>
      <c r="E108" s="159"/>
      <c r="F108" s="159"/>
      <c r="G108" s="159"/>
      <c r="H108" s="159"/>
      <c r="I108" s="159"/>
      <c r="J108" s="234"/>
    </row>
    <row r="109" spans="1:16" ht="20.100000000000001" customHeight="1">
      <c r="A109" s="8" t="s">
        <v>28</v>
      </c>
      <c r="B109" s="228">
        <v>1502</v>
      </c>
      <c r="C109" s="188"/>
      <c r="D109" s="159"/>
      <c r="E109" s="159"/>
      <c r="F109" s="159"/>
      <c r="G109" s="159"/>
      <c r="H109" s="159"/>
      <c r="I109" s="159"/>
      <c r="J109" s="234"/>
    </row>
    <row r="110" spans="1:16" ht="20.100000000000001" customHeight="1">
      <c r="A110" s="8" t="s">
        <v>5</v>
      </c>
      <c r="B110" s="68">
        <v>1510</v>
      </c>
      <c r="C110" s="188">
        <f t="shared" ref="C110:I111" si="25">C13+C35</f>
        <v>2178</v>
      </c>
      <c r="D110" s="159">
        <f t="shared" si="25"/>
        <v>3076</v>
      </c>
      <c r="E110" s="159">
        <f t="shared" si="25"/>
        <v>2759</v>
      </c>
      <c r="F110" s="159">
        <f t="shared" si="25"/>
        <v>499</v>
      </c>
      <c r="G110" s="159">
        <f t="shared" si="25"/>
        <v>1412</v>
      </c>
      <c r="H110" s="159">
        <f t="shared" si="25"/>
        <v>2478</v>
      </c>
      <c r="I110" s="159">
        <f t="shared" si="25"/>
        <v>3546</v>
      </c>
      <c r="J110" s="234"/>
      <c r="K110" s="166">
        <f>штатка!N38/1000</f>
        <v>499.09021481250005</v>
      </c>
      <c r="L110" s="166">
        <f>штатка!O38/1000</f>
        <v>1411.539236844375</v>
      </c>
      <c r="M110" s="166">
        <f>штатка!P38/1000</f>
        <v>2478.3337588762502</v>
      </c>
      <c r="N110" s="166">
        <f>штатка!Q38/1000</f>
        <v>3545.1282809081254</v>
      </c>
    </row>
    <row r="111" spans="1:16" ht="20.100000000000001" customHeight="1">
      <c r="A111" s="8" t="s">
        <v>6</v>
      </c>
      <c r="B111" s="68">
        <v>1520</v>
      </c>
      <c r="C111" s="188">
        <f t="shared" si="25"/>
        <v>479</v>
      </c>
      <c r="D111" s="159">
        <f t="shared" si="25"/>
        <v>660</v>
      </c>
      <c r="E111" s="159">
        <f t="shared" si="25"/>
        <v>616</v>
      </c>
      <c r="F111" s="159">
        <f t="shared" si="25"/>
        <v>108</v>
      </c>
      <c r="G111" s="159">
        <f t="shared" si="25"/>
        <v>306</v>
      </c>
      <c r="H111" s="159">
        <f t="shared" si="25"/>
        <v>536</v>
      </c>
      <c r="I111" s="159">
        <f t="shared" si="25"/>
        <v>767</v>
      </c>
      <c r="J111" s="234"/>
      <c r="K111" s="166">
        <f>штатка!N39/1000</f>
        <v>108.01337312925001</v>
      </c>
      <c r="L111" s="166">
        <f>штатка!O39/1000</f>
        <v>305.5402749527625</v>
      </c>
      <c r="M111" s="166">
        <f>штатка!P39/1000</f>
        <v>536.31048232927515</v>
      </c>
      <c r="N111" s="166">
        <f>штатка!Q39/1000</f>
        <v>767.08068970578768</v>
      </c>
      <c r="O111" s="166"/>
      <c r="P111" s="166"/>
    </row>
    <row r="112" spans="1:16" ht="20.100000000000001" customHeight="1">
      <c r="A112" s="8" t="s">
        <v>7</v>
      </c>
      <c r="B112" s="68">
        <v>1530</v>
      </c>
      <c r="C112" s="188">
        <v>6</v>
      </c>
      <c r="D112" s="159">
        <f>D16+D37+D59</f>
        <v>510</v>
      </c>
      <c r="E112" s="159">
        <f>E16+E37+E59+E74</f>
        <v>3757</v>
      </c>
      <c r="F112" s="159">
        <f>F16+F37+F59+F74</f>
        <v>957</v>
      </c>
      <c r="G112" s="159">
        <f>G16+G37+G59+G74</f>
        <v>1904</v>
      </c>
      <c r="H112" s="159">
        <f>H16+H37+H59+H74</f>
        <v>2852</v>
      </c>
      <c r="I112" s="159">
        <f>I16+I37+I59+I74</f>
        <v>3803</v>
      </c>
      <c r="J112" s="234"/>
      <c r="K112" s="207">
        <f>K111-F111</f>
        <v>1.3373129250012994E-2</v>
      </c>
      <c r="L112" s="207">
        <f t="shared" ref="L112:N112" si="26">L111-G111</f>
        <v>-0.45972504723749807</v>
      </c>
      <c r="M112" s="207">
        <f t="shared" si="26"/>
        <v>0.31048232927514618</v>
      </c>
      <c r="N112" s="207">
        <f t="shared" si="26"/>
        <v>8.0689705787676758E-2</v>
      </c>
    </row>
    <row r="113" spans="1:10" ht="20.100000000000001" customHeight="1">
      <c r="A113" s="8" t="s">
        <v>29</v>
      </c>
      <c r="B113" s="68">
        <v>1540</v>
      </c>
      <c r="C113" s="188">
        <v>117</v>
      </c>
      <c r="D113" s="159">
        <f>D17+D49+D63+D34+D41+D42+D44+D45+D46+D47</f>
        <v>264</v>
      </c>
      <c r="E113" s="159">
        <f>E98-E110-E111-E112-E87</f>
        <v>6875</v>
      </c>
      <c r="F113" s="159">
        <f>F98-F110-F111-F112-F87</f>
        <v>3559</v>
      </c>
      <c r="G113" s="159">
        <f>G98-G110-G111-G112-G87</f>
        <v>7121</v>
      </c>
      <c r="H113" s="159">
        <f t="shared" ref="H113:I113" si="27">H98-H110-H111-H112-H87</f>
        <v>10682</v>
      </c>
      <c r="I113" s="159">
        <f t="shared" si="27"/>
        <v>14247</v>
      </c>
      <c r="J113" s="234"/>
    </row>
    <row r="114" spans="1:10" s="5" customFormat="1" ht="20.100000000000001" customHeight="1">
      <c r="A114" s="9" t="s">
        <v>59</v>
      </c>
      <c r="B114" s="67">
        <v>1550</v>
      </c>
      <c r="C114" s="284">
        <f>SUM(C107,C110:C113)</f>
        <v>2780</v>
      </c>
      <c r="D114" s="255">
        <f t="shared" ref="D114:I114" si="28">SUM(D107,D110:D113)</f>
        <v>4510</v>
      </c>
      <c r="E114" s="255">
        <f t="shared" si="28"/>
        <v>14007</v>
      </c>
      <c r="F114" s="255">
        <f>SUM(F107,F110:F113)</f>
        <v>5123</v>
      </c>
      <c r="G114" s="255">
        <f t="shared" si="28"/>
        <v>10743</v>
      </c>
      <c r="H114" s="255">
        <f t="shared" si="28"/>
        <v>16548</v>
      </c>
      <c r="I114" s="255">
        <f t="shared" si="28"/>
        <v>22363</v>
      </c>
      <c r="J114" s="126"/>
    </row>
    <row r="115" spans="1:10" s="5" customFormat="1" ht="20.100000000000001" customHeight="1">
      <c r="A115" s="117"/>
      <c r="B115" s="121"/>
      <c r="C115" s="285"/>
      <c r="D115" s="122"/>
      <c r="E115" s="122"/>
      <c r="F115" s="123"/>
      <c r="G115" s="123"/>
      <c r="H115" s="123"/>
      <c r="I115" s="123"/>
      <c r="J115" s="124"/>
    </row>
    <row r="116" spans="1:10" s="5" customFormat="1" ht="15.75" customHeight="1">
      <c r="A116" s="117"/>
      <c r="B116" s="121"/>
      <c r="C116" s="285"/>
      <c r="D116" s="122"/>
      <c r="E116" s="122"/>
      <c r="F116" s="123"/>
      <c r="G116" s="123"/>
      <c r="H116" s="123"/>
      <c r="I116" s="123"/>
      <c r="J116" s="124"/>
    </row>
    <row r="117" spans="1:10" ht="16.5" customHeight="1">
      <c r="A117" s="102"/>
      <c r="B117" s="99"/>
      <c r="C117" s="286"/>
      <c r="D117" s="116"/>
      <c r="E117" s="116"/>
      <c r="F117" s="116"/>
      <c r="G117" s="116"/>
      <c r="H117" s="116"/>
      <c r="I117" s="116"/>
      <c r="J117" s="98"/>
    </row>
    <row r="118" spans="1:10">
      <c r="A118" s="117" t="s">
        <v>494</v>
      </c>
      <c r="B118" s="118"/>
      <c r="C118" s="408" t="s">
        <v>260</v>
      </c>
      <c r="D118" s="408"/>
      <c r="E118" s="408"/>
      <c r="F118" s="119"/>
      <c r="G118" s="409" t="s">
        <v>436</v>
      </c>
      <c r="H118" s="409"/>
      <c r="I118" s="409"/>
      <c r="J118" s="98"/>
    </row>
    <row r="119" spans="1:10" s="1" customFormat="1" ht="20.100000000000001" customHeight="1">
      <c r="A119" s="87" t="s">
        <v>495</v>
      </c>
      <c r="B119" s="98"/>
      <c r="C119" s="401" t="s">
        <v>337</v>
      </c>
      <c r="D119" s="401"/>
      <c r="E119" s="401"/>
      <c r="F119" s="120"/>
      <c r="G119" s="402" t="s">
        <v>114</v>
      </c>
      <c r="H119" s="402"/>
      <c r="I119" s="402"/>
      <c r="J119" s="125"/>
    </row>
    <row r="120" spans="1:10" s="216" customFormat="1" ht="20.100000000000001" customHeight="1">
      <c r="A120" s="25"/>
      <c r="B120" s="22"/>
      <c r="C120" s="287"/>
      <c r="D120" s="26"/>
      <c r="E120" s="26"/>
      <c r="F120" s="26"/>
      <c r="G120" s="26"/>
      <c r="H120" s="26"/>
      <c r="I120" s="26"/>
    </row>
    <row r="121" spans="1:10">
      <c r="A121" s="25"/>
      <c r="C121" s="287"/>
      <c r="D121" s="26"/>
      <c r="E121" s="26"/>
      <c r="F121" s="26"/>
      <c r="G121" s="26"/>
      <c r="H121" s="26"/>
      <c r="I121" s="26"/>
    </row>
    <row r="122" spans="1:10">
      <c r="A122" s="25"/>
      <c r="C122" s="287"/>
      <c r="D122" s="26"/>
      <c r="E122" s="26"/>
      <c r="F122" s="26"/>
      <c r="G122" s="26"/>
      <c r="H122" s="26"/>
      <c r="I122" s="26"/>
    </row>
    <row r="123" spans="1:10">
      <c r="A123" s="25"/>
      <c r="C123" s="287"/>
      <c r="D123" s="26"/>
      <c r="E123" s="26"/>
      <c r="F123" s="26"/>
      <c r="G123" s="26"/>
      <c r="H123" s="26"/>
      <c r="I123" s="26"/>
    </row>
    <row r="124" spans="1:10">
      <c r="A124" s="25"/>
      <c r="C124" s="287"/>
      <c r="D124" s="26"/>
      <c r="E124" s="26"/>
      <c r="F124" s="26"/>
      <c r="G124" s="26"/>
      <c r="H124" s="26"/>
      <c r="I124" s="26"/>
    </row>
    <row r="125" spans="1:10">
      <c r="A125" s="25"/>
      <c r="C125" s="287"/>
      <c r="D125" s="26"/>
      <c r="E125" s="26"/>
      <c r="F125" s="26"/>
      <c r="G125" s="26"/>
      <c r="H125" s="26"/>
      <c r="I125" s="26"/>
    </row>
    <row r="126" spans="1:10">
      <c r="A126" s="25"/>
      <c r="C126" s="287"/>
      <c r="D126" s="26"/>
      <c r="E126" s="26"/>
      <c r="F126" s="26"/>
      <c r="G126" s="26"/>
      <c r="H126" s="26"/>
      <c r="I126" s="26"/>
    </row>
    <row r="127" spans="1:10">
      <c r="A127" s="25"/>
      <c r="C127" s="287"/>
      <c r="D127" s="26"/>
      <c r="E127" s="26"/>
      <c r="F127" s="26"/>
      <c r="G127" s="26"/>
      <c r="H127" s="26"/>
      <c r="I127" s="26"/>
    </row>
    <row r="128" spans="1:10">
      <c r="A128" s="25"/>
      <c r="C128" s="287"/>
      <c r="D128" s="26"/>
      <c r="E128" s="26"/>
      <c r="F128" s="26"/>
      <c r="G128" s="26"/>
      <c r="H128" s="26"/>
      <c r="I128" s="26"/>
    </row>
    <row r="129" spans="1:9">
      <c r="A129" s="25"/>
      <c r="C129" s="287"/>
      <c r="D129" s="26"/>
      <c r="E129" s="26"/>
      <c r="F129" s="26"/>
      <c r="G129" s="26"/>
      <c r="H129" s="26"/>
      <c r="I129" s="26"/>
    </row>
    <row r="130" spans="1:9">
      <c r="A130" s="25"/>
      <c r="C130" s="287"/>
      <c r="D130" s="26"/>
      <c r="E130" s="26"/>
      <c r="F130" s="26"/>
      <c r="G130" s="26"/>
      <c r="H130" s="26"/>
      <c r="I130" s="26"/>
    </row>
    <row r="131" spans="1:9">
      <c r="A131" s="25"/>
      <c r="C131" s="287"/>
      <c r="D131" s="26"/>
      <c r="E131" s="26"/>
      <c r="F131" s="26"/>
      <c r="G131" s="26"/>
      <c r="H131" s="26"/>
      <c r="I131" s="26"/>
    </row>
    <row r="132" spans="1:9">
      <c r="A132" s="25"/>
      <c r="C132" s="287"/>
      <c r="D132" s="26"/>
      <c r="E132" s="26"/>
      <c r="F132" s="26"/>
      <c r="G132" s="26"/>
      <c r="H132" s="26"/>
      <c r="I132" s="26"/>
    </row>
    <row r="133" spans="1:9">
      <c r="A133" s="25"/>
      <c r="C133" s="287"/>
      <c r="D133" s="26"/>
      <c r="E133" s="26"/>
      <c r="F133" s="26"/>
      <c r="G133" s="26"/>
      <c r="H133" s="26"/>
      <c r="I133" s="26"/>
    </row>
    <row r="134" spans="1:9">
      <c r="A134" s="25"/>
      <c r="C134" s="287"/>
      <c r="D134" s="26"/>
      <c r="E134" s="26"/>
      <c r="F134" s="26"/>
      <c r="G134" s="26"/>
      <c r="H134" s="26"/>
      <c r="I134" s="26"/>
    </row>
    <row r="135" spans="1:9">
      <c r="A135" s="25"/>
      <c r="C135" s="287"/>
      <c r="D135" s="26"/>
      <c r="E135" s="26"/>
      <c r="F135" s="26"/>
      <c r="G135" s="26"/>
      <c r="H135" s="26"/>
      <c r="I135" s="26"/>
    </row>
    <row r="136" spans="1:9">
      <c r="A136" s="25"/>
      <c r="C136" s="287"/>
      <c r="D136" s="26"/>
      <c r="E136" s="26"/>
      <c r="F136" s="26"/>
      <c r="G136" s="26"/>
      <c r="H136" s="26"/>
      <c r="I136" s="26"/>
    </row>
    <row r="137" spans="1:9">
      <c r="A137" s="25"/>
      <c r="C137" s="287"/>
      <c r="D137" s="26"/>
      <c r="E137" s="26"/>
      <c r="F137" s="26"/>
      <c r="G137" s="26"/>
      <c r="H137" s="26"/>
      <c r="I137" s="26"/>
    </row>
    <row r="138" spans="1:9">
      <c r="A138" s="25"/>
      <c r="C138" s="287"/>
      <c r="D138" s="26"/>
      <c r="E138" s="26"/>
      <c r="F138" s="26"/>
      <c r="G138" s="26"/>
      <c r="H138" s="26"/>
      <c r="I138" s="26"/>
    </row>
    <row r="139" spans="1:9">
      <c r="A139" s="25"/>
      <c r="C139" s="287"/>
      <c r="D139" s="26"/>
      <c r="E139" s="26"/>
      <c r="F139" s="26"/>
      <c r="G139" s="26"/>
      <c r="H139" s="26"/>
      <c r="I139" s="26"/>
    </row>
    <row r="140" spans="1:9">
      <c r="A140" s="25"/>
      <c r="C140" s="287"/>
      <c r="D140" s="26"/>
      <c r="E140" s="26"/>
      <c r="F140" s="26"/>
      <c r="G140" s="26"/>
      <c r="H140" s="26"/>
      <c r="I140" s="26"/>
    </row>
    <row r="141" spans="1:9">
      <c r="A141" s="25"/>
      <c r="C141" s="287"/>
      <c r="D141" s="26"/>
      <c r="E141" s="26"/>
      <c r="F141" s="26"/>
      <c r="G141" s="26"/>
      <c r="H141" s="26"/>
      <c r="I141" s="26"/>
    </row>
    <row r="142" spans="1:9">
      <c r="A142" s="25"/>
      <c r="C142" s="287"/>
      <c r="D142" s="26"/>
      <c r="E142" s="26"/>
      <c r="F142" s="26"/>
      <c r="G142" s="26"/>
      <c r="H142" s="26"/>
      <c r="I142" s="26"/>
    </row>
    <row r="143" spans="1:9">
      <c r="A143" s="25"/>
      <c r="C143" s="287"/>
      <c r="D143" s="26"/>
      <c r="E143" s="26"/>
      <c r="F143" s="26"/>
      <c r="G143" s="26"/>
      <c r="H143" s="26"/>
      <c r="I143" s="26"/>
    </row>
    <row r="144" spans="1:9">
      <c r="A144" s="25"/>
      <c r="C144" s="287"/>
      <c r="D144" s="26"/>
      <c r="E144" s="26"/>
      <c r="F144" s="26"/>
      <c r="G144" s="26"/>
      <c r="H144" s="26"/>
      <c r="I144" s="26"/>
    </row>
    <row r="145" spans="1:9">
      <c r="A145" s="25"/>
      <c r="C145" s="287"/>
      <c r="D145" s="26"/>
      <c r="E145" s="26"/>
      <c r="F145" s="26"/>
      <c r="G145" s="26"/>
      <c r="H145" s="26"/>
      <c r="I145" s="26"/>
    </row>
    <row r="146" spans="1:9">
      <c r="A146" s="25"/>
      <c r="C146" s="287"/>
      <c r="D146" s="26"/>
      <c r="E146" s="26"/>
      <c r="F146" s="26"/>
      <c r="G146" s="26"/>
      <c r="H146" s="26"/>
      <c r="I146" s="26"/>
    </row>
    <row r="147" spans="1:9">
      <c r="A147" s="25"/>
      <c r="C147" s="287"/>
      <c r="D147" s="26"/>
      <c r="E147" s="26"/>
      <c r="F147" s="26"/>
      <c r="G147" s="26"/>
      <c r="H147" s="26"/>
      <c r="I147" s="26"/>
    </row>
    <row r="148" spans="1:9">
      <c r="A148" s="25"/>
      <c r="C148" s="287"/>
      <c r="D148" s="26"/>
      <c r="E148" s="26"/>
      <c r="F148" s="26"/>
      <c r="G148" s="26"/>
      <c r="H148" s="26"/>
      <c r="I148" s="26"/>
    </row>
    <row r="149" spans="1:9">
      <c r="A149" s="25"/>
      <c r="C149" s="287"/>
      <c r="D149" s="26"/>
      <c r="E149" s="26"/>
      <c r="F149" s="26"/>
      <c r="G149" s="26"/>
      <c r="H149" s="26"/>
      <c r="I149" s="26"/>
    </row>
    <row r="150" spans="1:9">
      <c r="A150" s="25"/>
      <c r="C150" s="287"/>
      <c r="D150" s="26"/>
      <c r="E150" s="26"/>
      <c r="F150" s="26"/>
      <c r="G150" s="26"/>
      <c r="H150" s="26"/>
      <c r="I150" s="26"/>
    </row>
    <row r="151" spans="1:9">
      <c r="A151" s="25"/>
      <c r="C151" s="287"/>
      <c r="D151" s="26"/>
      <c r="E151" s="26"/>
      <c r="F151" s="26"/>
      <c r="G151" s="26"/>
      <c r="H151" s="26"/>
      <c r="I151" s="26"/>
    </row>
    <row r="152" spans="1:9">
      <c r="A152" s="25"/>
      <c r="C152" s="287"/>
      <c r="D152" s="26"/>
      <c r="E152" s="26"/>
      <c r="F152" s="26"/>
      <c r="G152" s="26"/>
      <c r="H152" s="26"/>
      <c r="I152" s="26"/>
    </row>
    <row r="153" spans="1:9">
      <c r="A153" s="25"/>
      <c r="C153" s="287"/>
      <c r="D153" s="26"/>
      <c r="E153" s="26"/>
      <c r="F153" s="26"/>
      <c r="G153" s="26"/>
      <c r="H153" s="26"/>
      <c r="I153" s="26"/>
    </row>
    <row r="154" spans="1:9">
      <c r="A154" s="25"/>
      <c r="C154" s="287"/>
      <c r="D154" s="26"/>
      <c r="E154" s="26"/>
      <c r="F154" s="26"/>
      <c r="G154" s="26"/>
      <c r="H154" s="26"/>
      <c r="I154" s="26"/>
    </row>
    <row r="155" spans="1:9">
      <c r="A155" s="25"/>
      <c r="C155" s="287"/>
      <c r="D155" s="26"/>
      <c r="E155" s="26"/>
      <c r="F155" s="26"/>
      <c r="G155" s="26"/>
      <c r="H155" s="26"/>
      <c r="I155" s="26"/>
    </row>
    <row r="156" spans="1:9">
      <c r="A156" s="25"/>
      <c r="C156" s="287"/>
      <c r="D156" s="26"/>
      <c r="E156" s="26"/>
      <c r="F156" s="26"/>
      <c r="G156" s="26"/>
      <c r="H156" s="26"/>
      <c r="I156" s="26"/>
    </row>
    <row r="157" spans="1:9">
      <c r="A157" s="25"/>
      <c r="C157" s="287"/>
      <c r="D157" s="26"/>
      <c r="E157" s="26"/>
      <c r="F157" s="26"/>
      <c r="G157" s="26"/>
      <c r="H157" s="26"/>
      <c r="I157" s="26"/>
    </row>
    <row r="158" spans="1:9">
      <c r="A158" s="25"/>
      <c r="C158" s="287"/>
      <c r="D158" s="26"/>
      <c r="E158" s="26"/>
      <c r="F158" s="26"/>
      <c r="G158" s="26"/>
      <c r="H158" s="26"/>
      <c r="I158" s="26"/>
    </row>
    <row r="159" spans="1:9">
      <c r="A159" s="25"/>
      <c r="C159" s="287"/>
      <c r="D159" s="26"/>
      <c r="E159" s="26"/>
      <c r="F159" s="26"/>
      <c r="G159" s="26"/>
      <c r="H159" s="26"/>
      <c r="I159" s="26"/>
    </row>
    <row r="160" spans="1:9">
      <c r="A160" s="25"/>
      <c r="C160" s="287"/>
      <c r="D160" s="26"/>
      <c r="E160" s="26"/>
      <c r="F160" s="26"/>
      <c r="G160" s="26"/>
      <c r="H160" s="26"/>
      <c r="I160" s="26"/>
    </row>
    <row r="161" spans="1:9">
      <c r="A161" s="25"/>
      <c r="C161" s="287"/>
      <c r="D161" s="26"/>
      <c r="E161" s="26"/>
      <c r="F161" s="26"/>
      <c r="G161" s="26"/>
      <c r="H161" s="26"/>
      <c r="I161" s="26"/>
    </row>
    <row r="162" spans="1:9">
      <c r="A162" s="25"/>
      <c r="C162" s="287"/>
      <c r="D162" s="26"/>
      <c r="E162" s="26"/>
      <c r="F162" s="26"/>
      <c r="G162" s="26"/>
      <c r="H162" s="26"/>
      <c r="I162" s="26"/>
    </row>
    <row r="163" spans="1:9">
      <c r="A163" s="25"/>
      <c r="C163" s="287"/>
      <c r="D163" s="26"/>
      <c r="E163" s="26"/>
      <c r="F163" s="26"/>
      <c r="G163" s="26"/>
      <c r="H163" s="26"/>
      <c r="I163" s="26"/>
    </row>
    <row r="164" spans="1:9">
      <c r="A164" s="25"/>
      <c r="C164" s="287"/>
      <c r="D164" s="26"/>
      <c r="E164" s="26"/>
      <c r="F164" s="26"/>
      <c r="G164" s="26"/>
      <c r="H164" s="26"/>
      <c r="I164" s="26"/>
    </row>
    <row r="165" spans="1:9">
      <c r="A165" s="25"/>
      <c r="C165" s="287"/>
      <c r="D165" s="26"/>
      <c r="E165" s="26"/>
      <c r="F165" s="26"/>
      <c r="G165" s="26"/>
      <c r="H165" s="26"/>
      <c r="I165" s="26"/>
    </row>
    <row r="166" spans="1:9">
      <c r="A166" s="25"/>
      <c r="C166" s="287"/>
      <c r="D166" s="26"/>
      <c r="E166" s="26"/>
      <c r="F166" s="26"/>
      <c r="G166" s="26"/>
      <c r="H166" s="26"/>
      <c r="I166" s="26"/>
    </row>
    <row r="167" spans="1:9">
      <c r="A167" s="25"/>
      <c r="C167" s="287"/>
      <c r="D167" s="26"/>
      <c r="E167" s="26"/>
      <c r="F167" s="26"/>
      <c r="G167" s="26"/>
      <c r="H167" s="26"/>
      <c r="I167" s="26"/>
    </row>
    <row r="168" spans="1:9">
      <c r="A168" s="25"/>
      <c r="C168" s="287"/>
      <c r="D168" s="26"/>
      <c r="E168" s="26"/>
      <c r="F168" s="26"/>
      <c r="G168" s="26"/>
      <c r="H168" s="26"/>
      <c r="I168" s="26"/>
    </row>
    <row r="169" spans="1:9">
      <c r="A169" s="25"/>
      <c r="C169" s="287"/>
      <c r="D169" s="26"/>
      <c r="E169" s="26"/>
      <c r="F169" s="26"/>
      <c r="G169" s="26"/>
      <c r="H169" s="26"/>
      <c r="I169" s="26"/>
    </row>
    <row r="170" spans="1:9">
      <c r="A170" s="25"/>
      <c r="C170" s="287"/>
      <c r="D170" s="26"/>
      <c r="E170" s="26"/>
      <c r="F170" s="26"/>
      <c r="G170" s="26"/>
      <c r="H170" s="26"/>
      <c r="I170" s="26"/>
    </row>
    <row r="171" spans="1:9">
      <c r="A171" s="25"/>
      <c r="C171" s="287"/>
      <c r="D171" s="26"/>
      <c r="E171" s="26"/>
      <c r="F171" s="26"/>
      <c r="G171" s="26"/>
      <c r="H171" s="26"/>
      <c r="I171" s="26"/>
    </row>
    <row r="172" spans="1:9">
      <c r="A172" s="25"/>
      <c r="C172" s="287"/>
      <c r="D172" s="26"/>
      <c r="E172" s="26"/>
      <c r="F172" s="26"/>
      <c r="G172" s="26"/>
      <c r="H172" s="26"/>
      <c r="I172" s="26"/>
    </row>
    <row r="173" spans="1:9">
      <c r="A173" s="25"/>
      <c r="C173" s="287"/>
      <c r="D173" s="26"/>
      <c r="E173" s="26"/>
      <c r="F173" s="26"/>
      <c r="G173" s="26"/>
      <c r="H173" s="26"/>
      <c r="I173" s="26"/>
    </row>
    <row r="174" spans="1:9">
      <c r="A174" s="25"/>
      <c r="C174" s="287"/>
      <c r="D174" s="26"/>
      <c r="E174" s="26"/>
      <c r="F174" s="26"/>
      <c r="G174" s="26"/>
      <c r="H174" s="26"/>
      <c r="I174" s="26"/>
    </row>
    <row r="175" spans="1:9">
      <c r="A175" s="25"/>
      <c r="C175" s="287"/>
      <c r="D175" s="26"/>
      <c r="E175" s="26"/>
      <c r="F175" s="26"/>
      <c r="G175" s="26"/>
      <c r="H175" s="26"/>
      <c r="I175" s="26"/>
    </row>
    <row r="176" spans="1:9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  <row r="183" spans="1:1">
      <c r="A183" s="45"/>
    </row>
    <row r="184" spans="1:1">
      <c r="A184" s="45"/>
    </row>
    <row r="185" spans="1:1">
      <c r="A185" s="45"/>
    </row>
    <row r="186" spans="1:1">
      <c r="A186" s="45"/>
    </row>
    <row r="187" spans="1:1">
      <c r="A187" s="45"/>
    </row>
    <row r="188" spans="1:1">
      <c r="A188" s="45"/>
    </row>
    <row r="189" spans="1:1">
      <c r="A189" s="45"/>
    </row>
    <row r="190" spans="1:1">
      <c r="A190" s="45"/>
    </row>
    <row r="191" spans="1:1">
      <c r="A191" s="45"/>
    </row>
    <row r="192" spans="1:1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pans="1:1">
      <c r="A308" s="45"/>
    </row>
    <row r="309" spans="1:1">
      <c r="A309" s="45"/>
    </row>
    <row r="310" spans="1:1">
      <c r="A310" s="45"/>
    </row>
    <row r="311" spans="1:1">
      <c r="A311" s="45"/>
    </row>
    <row r="312" spans="1:1">
      <c r="A312" s="45"/>
    </row>
    <row r="313" spans="1:1">
      <c r="A313" s="45"/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pans="1:1">
      <c r="A333" s="45"/>
    </row>
    <row r="334" spans="1:1">
      <c r="A334" s="45"/>
    </row>
    <row r="335" spans="1:1">
      <c r="A335" s="45"/>
    </row>
    <row r="336" spans="1:1">
      <c r="A336" s="45"/>
    </row>
    <row r="337" spans="1:1">
      <c r="A337" s="45"/>
    </row>
    <row r="338" spans="1:1">
      <c r="A338" s="45"/>
    </row>
    <row r="339" spans="1:1">
      <c r="A339" s="45"/>
    </row>
    <row r="340" spans="1:1">
      <c r="A340" s="45"/>
    </row>
    <row r="341" spans="1:1">
      <c r="A341" s="45"/>
    </row>
    <row r="342" spans="1:1">
      <c r="A342" s="45"/>
    </row>
  </sheetData>
  <sheetProtection formatCells="0" formatColumns="0" formatRows="0" insertRows="0" deleteRows="0"/>
  <mergeCells count="16">
    <mergeCell ref="A1:J1"/>
    <mergeCell ref="C119:E119"/>
    <mergeCell ref="G119:I119"/>
    <mergeCell ref="J3:J4"/>
    <mergeCell ref="A6:J6"/>
    <mergeCell ref="A93:J93"/>
    <mergeCell ref="A99:J99"/>
    <mergeCell ref="B3:B4"/>
    <mergeCell ref="A3:A4"/>
    <mergeCell ref="C3:C4"/>
    <mergeCell ref="F3:I3"/>
    <mergeCell ref="A106:J106"/>
    <mergeCell ref="C118:E118"/>
    <mergeCell ref="G118:I118"/>
    <mergeCell ref="E3:E4"/>
    <mergeCell ref="D3:D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7" orientation="portrait" horizontalDpi="4294967294" verticalDpi="4294967295" r:id="rId1"/>
  <headerFooter alignWithMargins="0"/>
  <rowBreaks count="1" manualBreakCount="1">
    <brk id="8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M192"/>
  <sheetViews>
    <sheetView view="pageBreakPreview" zoomScale="75" zoomScaleNormal="65" zoomScaleSheetLayoutView="75" workbookViewId="0">
      <pane ySplit="5" topLeftCell="A27" activePane="bottomLeft" state="frozen"/>
      <selection pane="bottomLeft" activeCell="H37" sqref="H37"/>
    </sheetView>
  </sheetViews>
  <sheetFormatPr defaultColWidth="77.85546875" defaultRowHeight="18.75" outlineLevelRow="1"/>
  <cols>
    <col min="1" max="1" width="61.28515625" style="41" customWidth="1"/>
    <col min="2" max="2" width="15.28515625" style="44" customWidth="1"/>
    <col min="3" max="3" width="13" style="44" customWidth="1"/>
    <col min="4" max="4" width="14.85546875" style="44" customWidth="1"/>
    <col min="5" max="5" width="13.42578125" style="44" customWidth="1"/>
    <col min="6" max="6" width="13.7109375" style="41" customWidth="1"/>
    <col min="7" max="7" width="13.28515625" style="41" customWidth="1"/>
    <col min="8" max="8" width="13" style="41" customWidth="1"/>
    <col min="9" max="9" width="11.7109375" style="41" customWidth="1"/>
    <col min="10" max="10" width="10" style="41" customWidth="1"/>
    <col min="11" max="11" width="9.5703125" style="41" customWidth="1"/>
    <col min="12" max="254" width="9.140625" style="41" customWidth="1"/>
    <col min="255" max="16384" width="77.85546875" style="41"/>
  </cols>
  <sheetData>
    <row r="1" spans="1:9">
      <c r="A1" s="416" t="s">
        <v>372</v>
      </c>
      <c r="B1" s="416"/>
      <c r="C1" s="416"/>
      <c r="D1" s="416"/>
      <c r="E1" s="416"/>
      <c r="F1" s="416"/>
      <c r="G1" s="416"/>
      <c r="H1" s="416"/>
      <c r="I1" s="416"/>
    </row>
    <row r="2" spans="1:9" outlineLevel="1">
      <c r="A2" s="40"/>
      <c r="B2" s="48"/>
      <c r="C2" s="40"/>
      <c r="D2" s="40"/>
      <c r="E2" s="40"/>
      <c r="F2" s="40"/>
      <c r="G2" s="40"/>
      <c r="H2" s="40"/>
      <c r="I2" s="40"/>
    </row>
    <row r="3" spans="1:9" ht="38.25" customHeight="1">
      <c r="A3" s="417" t="s">
        <v>271</v>
      </c>
      <c r="B3" s="418" t="s">
        <v>18</v>
      </c>
      <c r="C3" s="418" t="s">
        <v>31</v>
      </c>
      <c r="D3" s="418" t="s">
        <v>39</v>
      </c>
      <c r="E3" s="419" t="s">
        <v>182</v>
      </c>
      <c r="F3" s="420" t="s">
        <v>368</v>
      </c>
      <c r="G3" s="420"/>
      <c r="H3" s="420"/>
      <c r="I3" s="420"/>
    </row>
    <row r="4" spans="1:9" ht="50.25" customHeight="1">
      <c r="A4" s="417"/>
      <c r="B4" s="418"/>
      <c r="C4" s="418"/>
      <c r="D4" s="418"/>
      <c r="E4" s="419"/>
      <c r="F4" s="11" t="s">
        <v>369</v>
      </c>
      <c r="G4" s="11" t="s">
        <v>370</v>
      </c>
      <c r="H4" s="11" t="s">
        <v>371</v>
      </c>
      <c r="I4" s="11" t="s">
        <v>85</v>
      </c>
    </row>
    <row r="5" spans="1:9" ht="18" customHeight="1">
      <c r="A5" s="46">
        <v>1</v>
      </c>
      <c r="B5" s="47">
        <v>2</v>
      </c>
      <c r="C5" s="47">
        <v>3</v>
      </c>
      <c r="D5" s="47">
        <v>4</v>
      </c>
      <c r="E5" s="47">
        <v>5</v>
      </c>
      <c r="F5" s="7">
        <v>6</v>
      </c>
      <c r="G5" s="7">
        <v>7</v>
      </c>
      <c r="H5" s="7">
        <v>8</v>
      </c>
      <c r="I5" s="7">
        <v>9</v>
      </c>
    </row>
    <row r="6" spans="1:9" ht="24.95" customHeight="1">
      <c r="A6" s="411" t="s">
        <v>166</v>
      </c>
      <c r="B6" s="412"/>
      <c r="C6" s="412"/>
      <c r="D6" s="412"/>
      <c r="E6" s="412"/>
      <c r="F6" s="412"/>
      <c r="G6" s="412"/>
      <c r="H6" s="412"/>
      <c r="I6" s="413"/>
    </row>
    <row r="7" spans="1:9" ht="42.75" customHeight="1">
      <c r="A7" s="52" t="s">
        <v>61</v>
      </c>
      <c r="B7" s="228">
        <v>2000</v>
      </c>
      <c r="C7" s="159"/>
      <c r="D7" s="159">
        <v>-3670</v>
      </c>
      <c r="E7" s="188">
        <v>-3293</v>
      </c>
      <c r="F7" s="159">
        <f>E17</f>
        <v>-16878</v>
      </c>
      <c r="G7" s="159">
        <f>E17</f>
        <v>-16878</v>
      </c>
      <c r="H7" s="159">
        <f>E17</f>
        <v>-16878</v>
      </c>
      <c r="I7" s="159">
        <f>E17</f>
        <v>-16878</v>
      </c>
    </row>
    <row r="8" spans="1:9" ht="37.5">
      <c r="A8" s="42" t="s">
        <v>223</v>
      </c>
      <c r="B8" s="228">
        <v>2010</v>
      </c>
      <c r="C8" s="160">
        <f>C9+C10</f>
        <v>0</v>
      </c>
      <c r="D8" s="160">
        <f t="shared" ref="D8:I8" si="0">D9+D10</f>
        <v>0</v>
      </c>
      <c r="E8" s="283">
        <f t="shared" si="0"/>
        <v>0</v>
      </c>
      <c r="F8" s="160">
        <f t="shared" si="0"/>
        <v>0</v>
      </c>
      <c r="G8" s="160">
        <f t="shared" si="0"/>
        <v>0</v>
      </c>
      <c r="H8" s="160">
        <f t="shared" si="0"/>
        <v>0</v>
      </c>
      <c r="I8" s="160">
        <f t="shared" si="0"/>
        <v>0</v>
      </c>
    </row>
    <row r="9" spans="1:9" ht="42.75" customHeight="1">
      <c r="A9" s="8" t="s">
        <v>374</v>
      </c>
      <c r="B9" s="228">
        <v>2011</v>
      </c>
      <c r="C9" s="159"/>
      <c r="D9" s="159"/>
      <c r="E9" s="188"/>
      <c r="F9" s="159"/>
      <c r="G9" s="159"/>
      <c r="H9" s="159"/>
      <c r="I9" s="159"/>
    </row>
    <row r="10" spans="1:9" ht="93.75">
      <c r="A10" s="8" t="s">
        <v>375</v>
      </c>
      <c r="B10" s="228">
        <v>2012</v>
      </c>
      <c r="C10" s="159"/>
      <c r="D10" s="159"/>
      <c r="E10" s="188"/>
      <c r="F10" s="159"/>
      <c r="G10" s="159"/>
      <c r="H10" s="159"/>
      <c r="I10" s="159"/>
    </row>
    <row r="11" spans="1:9" ht="20.100000000000001" customHeight="1">
      <c r="A11" s="8" t="s">
        <v>209</v>
      </c>
      <c r="B11" s="228">
        <v>2020</v>
      </c>
      <c r="C11" s="159"/>
      <c r="D11" s="159"/>
      <c r="E11" s="188"/>
      <c r="F11" s="159"/>
      <c r="G11" s="159"/>
      <c r="H11" s="159"/>
      <c r="I11" s="159"/>
    </row>
    <row r="12" spans="1:9" s="43" customFormat="1" ht="20.100000000000001" customHeight="1">
      <c r="A12" s="42" t="s">
        <v>74</v>
      </c>
      <c r="B12" s="228">
        <v>2030</v>
      </c>
      <c r="C12" s="159"/>
      <c r="D12" s="159"/>
      <c r="E12" s="188"/>
      <c r="F12" s="159"/>
      <c r="G12" s="159"/>
      <c r="H12" s="159"/>
      <c r="I12" s="159"/>
    </row>
    <row r="13" spans="1:9" ht="37.5">
      <c r="A13" s="42" t="s">
        <v>146</v>
      </c>
      <c r="B13" s="228">
        <v>2031</v>
      </c>
      <c r="C13" s="159"/>
      <c r="D13" s="159"/>
      <c r="E13" s="188"/>
      <c r="F13" s="159"/>
      <c r="G13" s="159"/>
      <c r="H13" s="159"/>
      <c r="I13" s="159"/>
    </row>
    <row r="14" spans="1:9" ht="20.100000000000001" customHeight="1">
      <c r="A14" s="42" t="s">
        <v>26</v>
      </c>
      <c r="B14" s="228">
        <v>2040</v>
      </c>
      <c r="C14" s="159"/>
      <c r="D14" s="159"/>
      <c r="E14" s="188"/>
      <c r="F14" s="159"/>
      <c r="G14" s="159"/>
      <c r="H14" s="159"/>
      <c r="I14" s="159"/>
    </row>
    <row r="15" spans="1:9" ht="20.100000000000001" customHeight="1">
      <c r="A15" s="155" t="s">
        <v>127</v>
      </c>
      <c r="B15" s="228">
        <v>2050</v>
      </c>
      <c r="C15" s="159"/>
      <c r="D15" s="159"/>
      <c r="E15" s="188"/>
      <c r="F15" s="159"/>
      <c r="G15" s="159"/>
      <c r="H15" s="159"/>
      <c r="I15" s="159"/>
    </row>
    <row r="16" spans="1:9" ht="20.100000000000001" customHeight="1">
      <c r="A16" s="155" t="s">
        <v>128</v>
      </c>
      <c r="B16" s="228">
        <v>2060</v>
      </c>
      <c r="C16" s="159"/>
      <c r="D16" s="159"/>
      <c r="E16" s="188"/>
      <c r="F16" s="159"/>
      <c r="G16" s="159"/>
      <c r="H16" s="159"/>
      <c r="I16" s="159"/>
    </row>
    <row r="17" spans="1:13" ht="42.75" customHeight="1">
      <c r="A17" s="52" t="s">
        <v>62</v>
      </c>
      <c r="B17" s="86">
        <v>2070</v>
      </c>
      <c r="C17" s="256">
        <f>'I. Фін результат'!C89+'ІІ. Розр. з бюджетом'!C7-('ІІ. Розр. з бюджетом'!C8+'ІІ. Розр. з бюджетом'!C11+'ІІ. Розр. з бюджетом'!C12+'ІІ. Розр. з бюджетом'!C14+'ІІ. Розр. з бюджетом'!C15+'ІІ. Розр. з бюджетом'!C16)</f>
        <v>-3290</v>
      </c>
      <c r="D17" s="256">
        <f>'I. Фін результат'!D89+'ІІ. Розр. з бюджетом'!D7-('ІІ. Розр. з бюджетом'!D8+'ІІ. Розр. з бюджетом'!D11+'ІІ. Розр. з бюджетом'!D12+'ІІ. Розр. з бюджетом'!D14+'ІІ. Розр. з бюджетом'!D15+'ІІ. Розр. з бюджетом'!D16)</f>
        <v>-8180</v>
      </c>
      <c r="E17" s="343">
        <f>'I. Фін результат'!E89+'ІІ.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-16878</v>
      </c>
      <c r="F17" s="256">
        <f>'I. Фін результат'!F89+'ІІ. Розр. з бюджетом'!F7-('ІІ. Розр. з бюджетом'!F8+'ІІ. Розр. з бюджетом'!F11+'ІІ. Розр. з бюджетом'!F12+'ІІ. Розр. з бюджетом'!F14+'ІІ. Розр. з бюджетом'!F15+'ІІ. Розр. з бюджетом'!F16)</f>
        <v>-22001</v>
      </c>
      <c r="G17" s="256">
        <f>'I. Фін результат'!G89+'ІІ. Розр. з бюджетом'!G7-('ІІ. Розр. з бюджетом'!G8+'ІІ. Розр. з бюджетом'!G11+'ІІ. Розр. з бюджетом'!G12+'ІІ. Розр. з бюджетом'!G14+'ІІ. Розр. з бюджетом'!G15+'ІІ. Розр. з бюджетом'!G16)</f>
        <v>-27621</v>
      </c>
      <c r="H17" s="256">
        <f>'I. Фін результат'!H89+'ІІ. Розр. з бюджетом'!H7-('ІІ. Розр. з бюджетом'!H8+'ІІ. Розр. з бюджетом'!H11+'ІІ. Розр. з бюджетом'!H12+'ІІ. Розр. з бюджетом'!H14+'ІІ. Розр. з бюджетом'!H15+'ІІ. Розр. з бюджетом'!H16)</f>
        <v>-33426</v>
      </c>
      <c r="I17" s="256">
        <f>'I. Фін результат'!I89+'ІІ. Розр. з бюджетом'!I7-('ІІ. Розр. з бюджетом'!I8+'ІІ. Розр. з бюджетом'!I11+'ІІ. Розр. з бюджетом'!I12+'ІІ. Розр. з бюджетом'!I14+'ІІ. Розр. з бюджетом'!I15+'ІІ. Розр. з бюджетом'!I16)</f>
        <v>-39241</v>
      </c>
    </row>
    <row r="18" spans="1:13" ht="20.100000000000001" customHeight="1">
      <c r="A18" s="411" t="s">
        <v>167</v>
      </c>
      <c r="B18" s="412"/>
      <c r="C18" s="412"/>
      <c r="D18" s="412"/>
      <c r="E18" s="412"/>
      <c r="F18" s="412"/>
      <c r="G18" s="412"/>
      <c r="H18" s="412"/>
      <c r="I18" s="413"/>
    </row>
    <row r="19" spans="1:13" ht="37.5">
      <c r="A19" s="155" t="s">
        <v>223</v>
      </c>
      <c r="B19" s="232">
        <v>2100</v>
      </c>
      <c r="C19" s="160">
        <f t="shared" ref="C19:I19" si="1">SUM(C20:C21)</f>
        <v>0</v>
      </c>
      <c r="D19" s="160">
        <f t="shared" si="1"/>
        <v>0</v>
      </c>
      <c r="E19" s="160">
        <f t="shared" si="1"/>
        <v>0</v>
      </c>
      <c r="F19" s="160">
        <f t="shared" si="1"/>
        <v>0</v>
      </c>
      <c r="G19" s="160">
        <f t="shared" si="1"/>
        <v>0</v>
      </c>
      <c r="H19" s="160">
        <f t="shared" si="1"/>
        <v>0</v>
      </c>
      <c r="I19" s="160">
        <f t="shared" si="1"/>
        <v>0</v>
      </c>
    </row>
    <row r="20" spans="1:13" ht="42.75" customHeight="1">
      <c r="A20" s="231" t="s">
        <v>374</v>
      </c>
      <c r="B20" s="232">
        <v>2101</v>
      </c>
      <c r="C20" s="160">
        <f>C9</f>
        <v>0</v>
      </c>
      <c r="D20" s="160">
        <f t="shared" ref="D20:I20" si="2">D9</f>
        <v>0</v>
      </c>
      <c r="E20" s="160">
        <f t="shared" si="2"/>
        <v>0</v>
      </c>
      <c r="F20" s="160">
        <f t="shared" si="2"/>
        <v>0</v>
      </c>
      <c r="G20" s="160">
        <f t="shared" si="2"/>
        <v>0</v>
      </c>
      <c r="H20" s="160">
        <f t="shared" si="2"/>
        <v>0</v>
      </c>
      <c r="I20" s="160">
        <f t="shared" si="2"/>
        <v>0</v>
      </c>
    </row>
    <row r="21" spans="1:13" ht="93.75">
      <c r="A21" s="231" t="s">
        <v>375</v>
      </c>
      <c r="B21" s="232">
        <v>2102</v>
      </c>
      <c r="C21" s="160">
        <f>C10</f>
        <v>0</v>
      </c>
      <c r="D21" s="160">
        <f t="shared" ref="D21:I21" si="3">D10</f>
        <v>0</v>
      </c>
      <c r="E21" s="160">
        <f t="shared" si="3"/>
        <v>0</v>
      </c>
      <c r="F21" s="160">
        <f t="shared" si="3"/>
        <v>0</v>
      </c>
      <c r="G21" s="160">
        <f t="shared" si="3"/>
        <v>0</v>
      </c>
      <c r="H21" s="160">
        <f t="shared" si="3"/>
        <v>0</v>
      </c>
      <c r="I21" s="160">
        <f t="shared" si="3"/>
        <v>0</v>
      </c>
    </row>
    <row r="22" spans="1:13" s="43" customFormat="1" ht="20.100000000000001" customHeight="1">
      <c r="A22" s="155" t="s">
        <v>169</v>
      </c>
      <c r="B22" s="156">
        <v>2110</v>
      </c>
      <c r="C22" s="160">
        <f>'I. Фін результат'!C87</f>
        <v>0</v>
      </c>
      <c r="D22" s="160">
        <f>'I. Фін результат'!D87</f>
        <v>0</v>
      </c>
      <c r="E22" s="160">
        <f>'I. Фін результат'!E87</f>
        <v>0</v>
      </c>
      <c r="F22" s="160">
        <f>'I. Фін результат'!F87</f>
        <v>0</v>
      </c>
      <c r="G22" s="160">
        <f>'I. Фін результат'!G87</f>
        <v>0</v>
      </c>
      <c r="H22" s="160">
        <f>'I. Фін результат'!H87</f>
        <v>0</v>
      </c>
      <c r="I22" s="160">
        <f>'I. Фін результат'!I87</f>
        <v>0</v>
      </c>
    </row>
    <row r="23" spans="1:13" ht="56.25">
      <c r="A23" s="155" t="s">
        <v>338</v>
      </c>
      <c r="B23" s="156">
        <v>2120</v>
      </c>
      <c r="C23" s="159"/>
      <c r="D23" s="159"/>
      <c r="E23" s="159"/>
      <c r="F23" s="159"/>
      <c r="G23" s="159"/>
      <c r="H23" s="159"/>
      <c r="I23" s="159"/>
    </row>
    <row r="24" spans="1:13" ht="56.25">
      <c r="A24" s="155" t="s">
        <v>339</v>
      </c>
      <c r="B24" s="156">
        <v>2130</v>
      </c>
      <c r="C24" s="159"/>
      <c r="D24" s="159"/>
      <c r="E24" s="159"/>
      <c r="F24" s="159"/>
      <c r="G24" s="159"/>
      <c r="H24" s="159"/>
      <c r="I24" s="159"/>
    </row>
    <row r="25" spans="1:13" s="226" customFormat="1" ht="56.25">
      <c r="A25" s="157" t="s">
        <v>259</v>
      </c>
      <c r="B25" s="158">
        <v>2140</v>
      </c>
      <c r="C25" s="255">
        <f t="shared" ref="C25:I25" si="4">SUM(C26:C30,C33,C35)</f>
        <v>424.71</v>
      </c>
      <c r="D25" s="255">
        <f t="shared" si="4"/>
        <v>599.81999999999994</v>
      </c>
      <c r="E25" s="255">
        <f t="shared" si="4"/>
        <v>545</v>
      </c>
      <c r="F25" s="255">
        <f t="shared" si="4"/>
        <v>97</v>
      </c>
      <c r="G25" s="255">
        <f t="shared" si="4"/>
        <v>275</v>
      </c>
      <c r="H25" s="255">
        <f t="shared" si="4"/>
        <v>483</v>
      </c>
      <c r="I25" s="255">
        <f t="shared" si="4"/>
        <v>691</v>
      </c>
      <c r="J25" s="41"/>
    </row>
    <row r="26" spans="1:13" ht="20.100000000000001" customHeight="1">
      <c r="A26" s="155" t="s">
        <v>90</v>
      </c>
      <c r="B26" s="156">
        <v>2141</v>
      </c>
      <c r="C26" s="159"/>
      <c r="D26" s="159"/>
      <c r="E26" s="159"/>
      <c r="F26" s="159"/>
      <c r="G26" s="159"/>
      <c r="H26" s="159"/>
      <c r="I26" s="159"/>
    </row>
    <row r="27" spans="1:13" ht="20.100000000000001" customHeight="1">
      <c r="A27" s="155" t="s">
        <v>117</v>
      </c>
      <c r="B27" s="156">
        <v>2142</v>
      </c>
      <c r="C27" s="159"/>
      <c r="D27" s="159"/>
      <c r="E27" s="159"/>
      <c r="F27" s="159"/>
      <c r="G27" s="159"/>
      <c r="H27" s="159"/>
      <c r="I27" s="159"/>
    </row>
    <row r="28" spans="1:13" ht="20.100000000000001" customHeight="1">
      <c r="A28" s="155" t="s">
        <v>108</v>
      </c>
      <c r="B28" s="156">
        <v>2143</v>
      </c>
      <c r="C28" s="159"/>
      <c r="D28" s="159"/>
      <c r="E28" s="159"/>
      <c r="F28" s="159"/>
      <c r="G28" s="159"/>
      <c r="H28" s="159"/>
      <c r="I28" s="159"/>
    </row>
    <row r="29" spans="1:13" ht="20.100000000000001" customHeight="1">
      <c r="A29" s="155" t="s">
        <v>88</v>
      </c>
      <c r="B29" s="156">
        <v>2144</v>
      </c>
      <c r="C29" s="159">
        <f>'I. Фін результат'!C110*0.18</f>
        <v>392.03999999999996</v>
      </c>
      <c r="D29" s="159">
        <f>'I. Фін результат'!D110*0.18</f>
        <v>553.67999999999995</v>
      </c>
      <c r="E29" s="159">
        <v>502</v>
      </c>
      <c r="F29" s="179">
        <f>ROUND(Лист1!C18,0)</f>
        <v>90</v>
      </c>
      <c r="G29" s="179">
        <f>ROUND(Лист1!D18,0)</f>
        <v>254</v>
      </c>
      <c r="H29" s="179">
        <f>ROUND(Лист1!E18,0)</f>
        <v>446</v>
      </c>
      <c r="I29" s="179">
        <f>ROUND(Лист1!F18,0)</f>
        <v>638</v>
      </c>
      <c r="J29" s="41">
        <f>'I. Фін результат'!F110*18%</f>
        <v>89.82</v>
      </c>
      <c r="K29" s="41">
        <f>'I. Фін результат'!G110*18%</f>
        <v>254.16</v>
      </c>
      <c r="L29" s="41">
        <f>'I. Фін результат'!H110*18%</f>
        <v>446.03999999999996</v>
      </c>
      <c r="M29" s="41">
        <f>'I. Фін результат'!I110*18%</f>
        <v>638.28</v>
      </c>
    </row>
    <row r="30" spans="1:13" s="43" customFormat="1" ht="20.100000000000001" customHeight="1">
      <c r="A30" s="155" t="s">
        <v>189</v>
      </c>
      <c r="B30" s="156">
        <v>2145</v>
      </c>
      <c r="C30" s="159"/>
      <c r="D30" s="159"/>
      <c r="E30" s="159"/>
      <c r="F30" s="159"/>
      <c r="G30" s="159"/>
      <c r="H30" s="159"/>
      <c r="I30" s="159"/>
    </row>
    <row r="31" spans="1:13" ht="56.25">
      <c r="A31" s="155" t="s">
        <v>268</v>
      </c>
      <c r="B31" s="156" t="s">
        <v>237</v>
      </c>
      <c r="C31" s="159"/>
      <c r="D31" s="159"/>
      <c r="E31" s="159"/>
      <c r="F31" s="159"/>
      <c r="G31" s="159"/>
      <c r="H31" s="159"/>
      <c r="I31" s="159"/>
    </row>
    <row r="32" spans="1:13" ht="20.100000000000001" customHeight="1">
      <c r="A32" s="155" t="s">
        <v>27</v>
      </c>
      <c r="B32" s="156" t="s">
        <v>238</v>
      </c>
      <c r="C32" s="159"/>
      <c r="D32" s="159"/>
      <c r="E32" s="159"/>
      <c r="F32" s="159"/>
      <c r="G32" s="159"/>
      <c r="H32" s="159"/>
      <c r="I32" s="159"/>
    </row>
    <row r="33" spans="1:11" s="43" customFormat="1" ht="20.100000000000001" customHeight="1">
      <c r="A33" s="155" t="s">
        <v>129</v>
      </c>
      <c r="B33" s="156">
        <v>2146</v>
      </c>
      <c r="C33" s="159">
        <f>C34</f>
        <v>0</v>
      </c>
      <c r="D33" s="159"/>
      <c r="E33" s="159"/>
      <c r="F33" s="159"/>
      <c r="G33" s="159"/>
      <c r="H33" s="159"/>
      <c r="I33" s="159"/>
    </row>
    <row r="34" spans="1:11" s="43" customFormat="1" ht="20.100000000000001" customHeight="1">
      <c r="A34" s="155" t="s">
        <v>443</v>
      </c>
      <c r="B34" s="156" t="s">
        <v>444</v>
      </c>
      <c r="C34" s="159"/>
      <c r="D34" s="159"/>
      <c r="E34" s="159"/>
      <c r="F34" s="159"/>
      <c r="G34" s="159"/>
      <c r="H34" s="159"/>
      <c r="I34" s="159"/>
    </row>
    <row r="35" spans="1:11" ht="20.100000000000001" customHeight="1">
      <c r="A35" s="155" t="s">
        <v>96</v>
      </c>
      <c r="B35" s="156">
        <v>2147</v>
      </c>
      <c r="C35" s="159">
        <f>C36</f>
        <v>32.67</v>
      </c>
      <c r="D35" s="159">
        <f>D36</f>
        <v>46.14</v>
      </c>
      <c r="E35" s="159">
        <f t="shared" ref="E35:I35" si="5">E36</f>
        <v>43</v>
      </c>
      <c r="F35" s="159">
        <f t="shared" si="5"/>
        <v>7</v>
      </c>
      <c r="G35" s="159">
        <f t="shared" si="5"/>
        <v>21</v>
      </c>
      <c r="H35" s="159">
        <f t="shared" si="5"/>
        <v>37</v>
      </c>
      <c r="I35" s="159">
        <f t="shared" si="5"/>
        <v>53</v>
      </c>
    </row>
    <row r="36" spans="1:11" ht="20.100000000000001" customHeight="1">
      <c r="A36" s="155" t="s">
        <v>386</v>
      </c>
      <c r="B36" s="156" t="s">
        <v>396</v>
      </c>
      <c r="C36" s="159">
        <f>'I. Фін результат'!C110*0.015</f>
        <v>32.67</v>
      </c>
      <c r="D36" s="159">
        <f>'I. Фін результат'!D110*0.015</f>
        <v>46.14</v>
      </c>
      <c r="E36" s="159">
        <v>43</v>
      </c>
      <c r="F36" s="179">
        <f>ROUND(Лист1!C19,0)</f>
        <v>7</v>
      </c>
      <c r="G36" s="179">
        <f>ROUND(Лист1!D19,0)</f>
        <v>21</v>
      </c>
      <c r="H36" s="179">
        <f>ROUND(Лист1!E19,0)</f>
        <v>37</v>
      </c>
      <c r="I36" s="179">
        <f>ROUND(Лист1!F19,0)</f>
        <v>53</v>
      </c>
    </row>
    <row r="37" spans="1:11" s="43" customFormat="1" ht="37.5">
      <c r="A37" s="155" t="s">
        <v>89</v>
      </c>
      <c r="B37" s="156">
        <v>2150</v>
      </c>
      <c r="C37" s="159">
        <f>'I. Фін результат'!C111</f>
        <v>479</v>
      </c>
      <c r="D37" s="159">
        <f>'I. Фін результат'!D111</f>
        <v>660</v>
      </c>
      <c r="E37" s="159">
        <f>'I. Фін результат'!E111</f>
        <v>616</v>
      </c>
      <c r="F37" s="179">
        <f>'I. Фін результат'!F111</f>
        <v>108</v>
      </c>
      <c r="G37" s="179">
        <f>'I. Фін результат'!G111</f>
        <v>306</v>
      </c>
      <c r="H37" s="179">
        <f>'I. Фін результат'!H111</f>
        <v>536</v>
      </c>
      <c r="I37" s="179">
        <f>'I. Фін результат'!I111</f>
        <v>767</v>
      </c>
    </row>
    <row r="38" spans="1:11" s="43" customFormat="1" ht="20.100000000000001" customHeight="1">
      <c r="A38" s="157" t="s">
        <v>365</v>
      </c>
      <c r="B38" s="158">
        <v>2200</v>
      </c>
      <c r="C38" s="254">
        <f t="shared" ref="C38:I38" si="6">SUM(C19,C22:C24,C25,C37)</f>
        <v>903.71</v>
      </c>
      <c r="D38" s="254">
        <f t="shared" si="6"/>
        <v>1259.82</v>
      </c>
      <c r="E38" s="254">
        <f t="shared" si="6"/>
        <v>1161</v>
      </c>
      <c r="F38" s="254">
        <f t="shared" si="6"/>
        <v>205</v>
      </c>
      <c r="G38" s="254">
        <f t="shared" si="6"/>
        <v>581</v>
      </c>
      <c r="H38" s="254">
        <f t="shared" si="6"/>
        <v>1019</v>
      </c>
      <c r="I38" s="254">
        <f t="shared" si="6"/>
        <v>1458</v>
      </c>
      <c r="J38" s="41"/>
    </row>
    <row r="39" spans="1:11" s="43" customFormat="1" ht="20.100000000000001" customHeight="1">
      <c r="A39" s="127"/>
      <c r="B39" s="128"/>
      <c r="C39" s="129"/>
      <c r="D39" s="130"/>
      <c r="E39" s="130"/>
      <c r="F39" s="130"/>
      <c r="G39" s="130"/>
      <c r="H39" s="130"/>
      <c r="I39" s="130"/>
    </row>
    <row r="40" spans="1:11" s="43" customFormat="1" ht="20.100000000000001" customHeight="1">
      <c r="A40" s="127"/>
      <c r="B40" s="128"/>
      <c r="C40" s="129"/>
      <c r="D40" s="130"/>
      <c r="E40" s="130"/>
      <c r="F40" s="130"/>
      <c r="G40" s="130"/>
      <c r="H40" s="130"/>
      <c r="I40" s="130"/>
    </row>
    <row r="41" spans="1:11" s="2" customFormat="1" ht="20.100000000000001" customHeight="1">
      <c r="A41" s="117" t="s">
        <v>302</v>
      </c>
      <c r="B41" s="118"/>
      <c r="C41" s="408" t="s">
        <v>118</v>
      </c>
      <c r="D41" s="414"/>
      <c r="E41" s="414"/>
      <c r="F41" s="119"/>
      <c r="G41" s="415" t="s">
        <v>439</v>
      </c>
      <c r="H41" s="415"/>
      <c r="I41" s="415"/>
    </row>
    <row r="42" spans="1:11" s="1" customFormat="1" ht="20.100000000000001" customHeight="1">
      <c r="A42" s="87" t="s">
        <v>303</v>
      </c>
      <c r="B42" s="98"/>
      <c r="C42" s="401" t="s">
        <v>301</v>
      </c>
      <c r="D42" s="401"/>
      <c r="E42" s="401"/>
      <c r="F42" s="120"/>
      <c r="G42" s="378" t="s">
        <v>114</v>
      </c>
      <c r="H42" s="378"/>
      <c r="I42" s="378"/>
    </row>
    <row r="43" spans="1:11" s="44" customFormat="1">
      <c r="A43" s="55"/>
      <c r="F43" s="41"/>
      <c r="G43" s="41"/>
      <c r="H43" s="41"/>
      <c r="I43" s="41"/>
      <c r="J43" s="41"/>
      <c r="K43" s="41"/>
    </row>
    <row r="44" spans="1:11" s="44" customFormat="1">
      <c r="A44" s="55"/>
      <c r="F44" s="41"/>
      <c r="G44" s="41"/>
      <c r="H44" s="41"/>
      <c r="I44" s="41"/>
      <c r="J44" s="41"/>
      <c r="K44" s="41"/>
    </row>
    <row r="45" spans="1:11" s="44" customFormat="1">
      <c r="A45" s="55"/>
      <c r="F45" s="41"/>
      <c r="G45" s="41"/>
      <c r="H45" s="41"/>
      <c r="I45" s="41"/>
      <c r="J45" s="41"/>
      <c r="K45" s="41"/>
    </row>
    <row r="46" spans="1:11" s="44" customFormat="1">
      <c r="A46" s="55"/>
      <c r="F46" s="41"/>
      <c r="G46" s="41"/>
      <c r="H46" s="41"/>
      <c r="I46" s="41"/>
      <c r="J46" s="41"/>
      <c r="K46" s="41"/>
    </row>
    <row r="47" spans="1:11" s="44" customFormat="1">
      <c r="A47" s="55"/>
      <c r="F47" s="41"/>
      <c r="G47" s="41"/>
      <c r="H47" s="41"/>
      <c r="I47" s="41"/>
      <c r="J47" s="41"/>
      <c r="K47" s="41"/>
    </row>
    <row r="48" spans="1:11" s="44" customFormat="1">
      <c r="A48" s="55"/>
      <c r="F48" s="41"/>
      <c r="G48" s="41"/>
      <c r="H48" s="41"/>
      <c r="I48" s="41"/>
      <c r="J48" s="41"/>
      <c r="K48" s="41"/>
    </row>
    <row r="49" spans="1:11" s="44" customFormat="1">
      <c r="A49" s="55"/>
      <c r="F49" s="41"/>
      <c r="G49" s="41"/>
      <c r="H49" s="41"/>
      <c r="I49" s="41"/>
      <c r="J49" s="41"/>
      <c r="K49" s="41"/>
    </row>
    <row r="50" spans="1:11" s="44" customFormat="1">
      <c r="A50" s="55"/>
      <c r="F50" s="41"/>
      <c r="G50" s="41"/>
      <c r="H50" s="41"/>
      <c r="I50" s="41"/>
      <c r="J50" s="41"/>
      <c r="K50" s="41"/>
    </row>
    <row r="51" spans="1:11" s="44" customFormat="1">
      <c r="A51" s="55"/>
      <c r="F51" s="41"/>
      <c r="G51" s="41"/>
      <c r="H51" s="41"/>
      <c r="I51" s="41"/>
      <c r="J51" s="41"/>
      <c r="K51" s="41"/>
    </row>
    <row r="52" spans="1:11" s="44" customFormat="1">
      <c r="A52" s="55"/>
      <c r="F52" s="41"/>
      <c r="G52" s="41"/>
      <c r="H52" s="41"/>
      <c r="I52" s="41"/>
      <c r="J52" s="41"/>
      <c r="K52" s="41"/>
    </row>
    <row r="53" spans="1:11" s="44" customFormat="1">
      <c r="A53" s="55"/>
      <c r="F53" s="41"/>
      <c r="G53" s="41"/>
      <c r="H53" s="41"/>
      <c r="I53" s="41"/>
      <c r="J53" s="41"/>
      <c r="K53" s="41"/>
    </row>
    <row r="54" spans="1:11" s="44" customFormat="1">
      <c r="A54" s="55"/>
      <c r="F54" s="41"/>
      <c r="G54" s="41"/>
      <c r="H54" s="41"/>
      <c r="I54" s="41"/>
      <c r="J54" s="41"/>
      <c r="K54" s="41"/>
    </row>
    <row r="55" spans="1:11" s="44" customFormat="1">
      <c r="A55" s="55"/>
      <c r="F55" s="41"/>
      <c r="G55" s="41"/>
      <c r="H55" s="41"/>
      <c r="I55" s="41"/>
      <c r="J55" s="41"/>
      <c r="K55" s="41"/>
    </row>
    <row r="56" spans="1:11" s="44" customFormat="1">
      <c r="A56" s="55"/>
      <c r="F56" s="41"/>
      <c r="G56" s="41"/>
      <c r="H56" s="41"/>
      <c r="I56" s="41"/>
      <c r="J56" s="41"/>
      <c r="K56" s="41"/>
    </row>
    <row r="57" spans="1:11" s="44" customFormat="1">
      <c r="A57" s="55"/>
      <c r="F57" s="41"/>
      <c r="G57" s="41"/>
      <c r="H57" s="41"/>
      <c r="I57" s="41"/>
      <c r="J57" s="41"/>
      <c r="K57" s="41"/>
    </row>
    <row r="58" spans="1:11" s="44" customFormat="1">
      <c r="A58" s="55"/>
      <c r="F58" s="41"/>
      <c r="G58" s="41"/>
      <c r="H58" s="41"/>
      <c r="I58" s="41"/>
      <c r="J58" s="41"/>
      <c r="K58" s="41"/>
    </row>
    <row r="59" spans="1:11" s="44" customFormat="1">
      <c r="A59" s="55"/>
      <c r="F59" s="41"/>
      <c r="G59" s="41"/>
      <c r="H59" s="41"/>
      <c r="I59" s="41"/>
      <c r="J59" s="41"/>
      <c r="K59" s="41"/>
    </row>
    <row r="60" spans="1:11" s="44" customFormat="1">
      <c r="A60" s="55"/>
      <c r="F60" s="41"/>
      <c r="G60" s="41"/>
      <c r="H60" s="41"/>
      <c r="I60" s="41"/>
      <c r="J60" s="41"/>
      <c r="K60" s="41"/>
    </row>
    <row r="61" spans="1:11" s="44" customFormat="1">
      <c r="A61" s="55"/>
      <c r="F61" s="41"/>
      <c r="G61" s="41"/>
      <c r="H61" s="41"/>
      <c r="I61" s="41"/>
      <c r="J61" s="41"/>
      <c r="K61" s="41"/>
    </row>
    <row r="62" spans="1:11" s="44" customFormat="1">
      <c r="A62" s="55"/>
      <c r="F62" s="41"/>
      <c r="G62" s="41"/>
      <c r="H62" s="41"/>
      <c r="I62" s="41"/>
      <c r="J62" s="41"/>
      <c r="K62" s="41"/>
    </row>
    <row r="63" spans="1:11" s="44" customFormat="1">
      <c r="A63" s="55"/>
      <c r="F63" s="41"/>
      <c r="G63" s="41"/>
      <c r="H63" s="41"/>
      <c r="I63" s="41"/>
      <c r="J63" s="41"/>
      <c r="K63" s="41"/>
    </row>
    <row r="64" spans="1:11" s="44" customFormat="1">
      <c r="A64" s="55"/>
      <c r="F64" s="41"/>
      <c r="G64" s="41"/>
      <c r="H64" s="41"/>
      <c r="I64" s="41"/>
      <c r="J64" s="41"/>
      <c r="K64" s="41"/>
    </row>
    <row r="65" spans="1:11" s="44" customFormat="1">
      <c r="A65" s="55"/>
      <c r="F65" s="41"/>
      <c r="G65" s="41"/>
      <c r="H65" s="41"/>
      <c r="I65" s="41"/>
      <c r="J65" s="41"/>
      <c r="K65" s="41"/>
    </row>
    <row r="66" spans="1:11" s="44" customFormat="1">
      <c r="A66" s="55"/>
      <c r="F66" s="41"/>
      <c r="G66" s="41"/>
      <c r="H66" s="41"/>
      <c r="I66" s="41"/>
      <c r="J66" s="41"/>
      <c r="K66" s="41"/>
    </row>
    <row r="67" spans="1:11" s="44" customFormat="1">
      <c r="A67" s="55"/>
      <c r="F67" s="41"/>
      <c r="G67" s="41"/>
      <c r="H67" s="41"/>
      <c r="I67" s="41"/>
      <c r="J67" s="41"/>
      <c r="K67" s="41"/>
    </row>
    <row r="68" spans="1:11" s="44" customFormat="1">
      <c r="A68" s="55"/>
      <c r="F68" s="41"/>
      <c r="G68" s="41"/>
      <c r="H68" s="41"/>
      <c r="I68" s="41"/>
      <c r="J68" s="41"/>
      <c r="K68" s="41"/>
    </row>
    <row r="69" spans="1:11" s="44" customFormat="1">
      <c r="A69" s="55"/>
      <c r="F69" s="41"/>
      <c r="G69" s="41"/>
      <c r="H69" s="41"/>
      <c r="I69" s="41"/>
      <c r="J69" s="41"/>
      <c r="K69" s="41"/>
    </row>
    <row r="70" spans="1:11" s="44" customFormat="1">
      <c r="A70" s="55"/>
      <c r="F70" s="41"/>
      <c r="G70" s="41"/>
      <c r="H70" s="41"/>
      <c r="I70" s="41"/>
      <c r="J70" s="41"/>
      <c r="K70" s="41"/>
    </row>
    <row r="71" spans="1:11" s="44" customFormat="1">
      <c r="A71" s="55"/>
      <c r="F71" s="41"/>
      <c r="G71" s="41"/>
      <c r="H71" s="41"/>
      <c r="I71" s="41"/>
      <c r="J71" s="41"/>
      <c r="K71" s="41"/>
    </row>
    <row r="72" spans="1:11" s="44" customFormat="1">
      <c r="A72" s="55"/>
      <c r="F72" s="41"/>
      <c r="G72" s="41"/>
      <c r="H72" s="41"/>
      <c r="I72" s="41"/>
      <c r="J72" s="41"/>
      <c r="K72" s="41"/>
    </row>
    <row r="73" spans="1:11" s="44" customFormat="1">
      <c r="A73" s="55"/>
      <c r="F73" s="41"/>
      <c r="G73" s="41"/>
      <c r="H73" s="41"/>
      <c r="I73" s="41"/>
      <c r="J73" s="41"/>
      <c r="K73" s="41"/>
    </row>
    <row r="74" spans="1:11" s="44" customFormat="1">
      <c r="A74" s="55"/>
      <c r="F74" s="41"/>
      <c r="G74" s="41"/>
      <c r="H74" s="41"/>
      <c r="I74" s="41"/>
      <c r="J74" s="41"/>
      <c r="K74" s="41"/>
    </row>
    <row r="75" spans="1:11" s="44" customFormat="1">
      <c r="A75" s="55"/>
      <c r="F75" s="41"/>
      <c r="G75" s="41"/>
      <c r="H75" s="41"/>
      <c r="I75" s="41"/>
      <c r="J75" s="41"/>
      <c r="K75" s="41"/>
    </row>
    <row r="76" spans="1:11" s="44" customFormat="1">
      <c r="A76" s="55"/>
      <c r="F76" s="41"/>
      <c r="G76" s="41"/>
      <c r="H76" s="41"/>
      <c r="I76" s="41"/>
      <c r="J76" s="41"/>
      <c r="K76" s="41"/>
    </row>
    <row r="77" spans="1:11" s="44" customFormat="1">
      <c r="A77" s="55"/>
      <c r="F77" s="41"/>
      <c r="G77" s="41"/>
      <c r="H77" s="41"/>
      <c r="I77" s="41"/>
      <c r="J77" s="41"/>
      <c r="K77" s="41"/>
    </row>
    <row r="78" spans="1:11" s="44" customFormat="1">
      <c r="A78" s="55"/>
      <c r="F78" s="41"/>
      <c r="G78" s="41"/>
      <c r="H78" s="41"/>
      <c r="I78" s="41"/>
      <c r="J78" s="41"/>
      <c r="K78" s="41"/>
    </row>
    <row r="79" spans="1:11" s="44" customFormat="1">
      <c r="A79" s="55"/>
      <c r="F79" s="41"/>
      <c r="G79" s="41"/>
      <c r="H79" s="41"/>
      <c r="I79" s="41"/>
      <c r="J79" s="41"/>
      <c r="K79" s="41"/>
    </row>
    <row r="80" spans="1:11" s="44" customFormat="1">
      <c r="A80" s="55"/>
      <c r="F80" s="41"/>
      <c r="G80" s="41"/>
      <c r="H80" s="41"/>
      <c r="I80" s="41"/>
      <c r="J80" s="41"/>
      <c r="K80" s="41"/>
    </row>
    <row r="81" spans="1:11" s="44" customFormat="1">
      <c r="A81" s="55"/>
      <c r="F81" s="41"/>
      <c r="G81" s="41"/>
      <c r="H81" s="41"/>
      <c r="I81" s="41"/>
      <c r="J81" s="41"/>
      <c r="K81" s="41"/>
    </row>
    <row r="82" spans="1:11" s="44" customFormat="1">
      <c r="A82" s="55"/>
      <c r="F82" s="41"/>
      <c r="G82" s="41"/>
      <c r="H82" s="41"/>
      <c r="I82" s="41"/>
      <c r="J82" s="41"/>
      <c r="K82" s="41"/>
    </row>
    <row r="83" spans="1:11" s="44" customFormat="1">
      <c r="A83" s="55"/>
      <c r="F83" s="41"/>
      <c r="G83" s="41"/>
      <c r="H83" s="41"/>
      <c r="I83" s="41"/>
      <c r="J83" s="41"/>
      <c r="K83" s="41"/>
    </row>
    <row r="84" spans="1:11" s="44" customFormat="1">
      <c r="A84" s="55"/>
      <c r="F84" s="41"/>
      <c r="G84" s="41"/>
      <c r="H84" s="41"/>
      <c r="I84" s="41"/>
      <c r="J84" s="41"/>
      <c r="K84" s="41"/>
    </row>
    <row r="85" spans="1:11" s="44" customFormat="1">
      <c r="A85" s="55"/>
      <c r="F85" s="41"/>
      <c r="G85" s="41"/>
      <c r="H85" s="41"/>
      <c r="I85" s="41"/>
      <c r="J85" s="41"/>
      <c r="K85" s="41"/>
    </row>
    <row r="86" spans="1:11" s="44" customFormat="1">
      <c r="A86" s="55"/>
      <c r="F86" s="41"/>
      <c r="G86" s="41"/>
      <c r="H86" s="41"/>
      <c r="I86" s="41"/>
      <c r="J86" s="41"/>
      <c r="K86" s="41"/>
    </row>
    <row r="87" spans="1:11" s="44" customFormat="1">
      <c r="A87" s="55"/>
      <c r="F87" s="41"/>
      <c r="G87" s="41"/>
      <c r="H87" s="41"/>
      <c r="I87" s="41"/>
      <c r="J87" s="41"/>
      <c r="K87" s="41"/>
    </row>
    <row r="88" spans="1:11" s="44" customFormat="1">
      <c r="A88" s="55"/>
      <c r="F88" s="41"/>
      <c r="G88" s="41"/>
      <c r="H88" s="41"/>
      <c r="I88" s="41"/>
      <c r="J88" s="41"/>
      <c r="K88" s="41"/>
    </row>
    <row r="89" spans="1:11" s="44" customFormat="1">
      <c r="A89" s="55"/>
      <c r="F89" s="41"/>
      <c r="G89" s="41"/>
      <c r="H89" s="41"/>
      <c r="I89" s="41"/>
      <c r="J89" s="41"/>
      <c r="K89" s="41"/>
    </row>
    <row r="90" spans="1:11" s="44" customFormat="1">
      <c r="A90" s="55"/>
      <c r="F90" s="41"/>
      <c r="G90" s="41"/>
      <c r="H90" s="41"/>
      <c r="I90" s="41"/>
      <c r="J90" s="41"/>
      <c r="K90" s="41"/>
    </row>
    <row r="91" spans="1:11" s="44" customFormat="1">
      <c r="A91" s="55"/>
      <c r="F91" s="41"/>
      <c r="G91" s="41"/>
      <c r="H91" s="41"/>
      <c r="I91" s="41"/>
      <c r="J91" s="41"/>
      <c r="K91" s="41"/>
    </row>
    <row r="92" spans="1:11" s="44" customFormat="1">
      <c r="A92" s="55"/>
      <c r="F92" s="41"/>
      <c r="G92" s="41"/>
      <c r="H92" s="41"/>
      <c r="I92" s="41"/>
      <c r="J92" s="41"/>
      <c r="K92" s="41"/>
    </row>
    <row r="93" spans="1:11" s="44" customFormat="1">
      <c r="A93" s="55"/>
      <c r="F93" s="41"/>
      <c r="G93" s="41"/>
      <c r="H93" s="41"/>
      <c r="I93" s="41"/>
      <c r="J93" s="41"/>
      <c r="K93" s="41"/>
    </row>
    <row r="94" spans="1:11" s="44" customFormat="1">
      <c r="A94" s="55"/>
      <c r="F94" s="41"/>
      <c r="G94" s="41"/>
      <c r="H94" s="41"/>
      <c r="I94" s="41"/>
      <c r="J94" s="41"/>
      <c r="K94" s="41"/>
    </row>
    <row r="95" spans="1:11" s="44" customFormat="1">
      <c r="A95" s="55"/>
      <c r="F95" s="41"/>
      <c r="G95" s="41"/>
      <c r="H95" s="41"/>
      <c r="I95" s="41"/>
      <c r="J95" s="41"/>
      <c r="K95" s="41"/>
    </row>
    <row r="96" spans="1:11" s="44" customFormat="1">
      <c r="A96" s="55"/>
      <c r="F96" s="41"/>
      <c r="G96" s="41"/>
      <c r="H96" s="41"/>
      <c r="I96" s="41"/>
      <c r="J96" s="41"/>
      <c r="K96" s="41"/>
    </row>
    <row r="97" spans="1:11" s="44" customFormat="1">
      <c r="A97" s="55"/>
      <c r="F97" s="41"/>
      <c r="G97" s="41"/>
      <c r="H97" s="41"/>
      <c r="I97" s="41"/>
      <c r="J97" s="41"/>
      <c r="K97" s="41"/>
    </row>
    <row r="98" spans="1:11" s="44" customFormat="1">
      <c r="A98" s="55"/>
      <c r="F98" s="41"/>
      <c r="G98" s="41"/>
      <c r="H98" s="41"/>
      <c r="I98" s="41"/>
      <c r="J98" s="41"/>
      <c r="K98" s="41"/>
    </row>
    <row r="99" spans="1:11" s="44" customFormat="1">
      <c r="A99" s="55"/>
      <c r="F99" s="41"/>
      <c r="G99" s="41"/>
      <c r="H99" s="41"/>
      <c r="I99" s="41"/>
      <c r="J99" s="41"/>
      <c r="K99" s="41"/>
    </row>
    <row r="100" spans="1:11" s="44" customFormat="1">
      <c r="A100" s="55"/>
      <c r="F100" s="41"/>
      <c r="G100" s="41"/>
      <c r="H100" s="41"/>
      <c r="I100" s="41"/>
      <c r="J100" s="41"/>
      <c r="K100" s="41"/>
    </row>
    <row r="101" spans="1:11" s="44" customFormat="1">
      <c r="A101" s="55"/>
      <c r="F101" s="41"/>
      <c r="G101" s="41"/>
      <c r="H101" s="41"/>
      <c r="I101" s="41"/>
      <c r="J101" s="41"/>
      <c r="K101" s="41"/>
    </row>
    <row r="102" spans="1:11" s="44" customFormat="1">
      <c r="A102" s="55"/>
      <c r="F102" s="41"/>
      <c r="G102" s="41"/>
      <c r="H102" s="41"/>
      <c r="I102" s="41"/>
      <c r="J102" s="41"/>
      <c r="K102" s="41"/>
    </row>
    <row r="103" spans="1:11" s="44" customFormat="1">
      <c r="A103" s="55"/>
      <c r="F103" s="41"/>
      <c r="G103" s="41"/>
      <c r="H103" s="41"/>
      <c r="I103" s="41"/>
      <c r="J103" s="41"/>
      <c r="K103" s="41"/>
    </row>
    <row r="104" spans="1:11" s="44" customFormat="1">
      <c r="A104" s="55"/>
      <c r="F104" s="41"/>
      <c r="G104" s="41"/>
      <c r="H104" s="41"/>
      <c r="I104" s="41"/>
      <c r="J104" s="41"/>
      <c r="K104" s="41"/>
    </row>
    <row r="105" spans="1:11" s="44" customFormat="1">
      <c r="A105" s="55"/>
      <c r="F105" s="41"/>
      <c r="G105" s="41"/>
      <c r="H105" s="41"/>
      <c r="I105" s="41"/>
      <c r="J105" s="41"/>
      <c r="K105" s="41"/>
    </row>
    <row r="106" spans="1:11" s="44" customFormat="1">
      <c r="A106" s="55"/>
      <c r="F106" s="41"/>
      <c r="G106" s="41"/>
      <c r="H106" s="41"/>
      <c r="I106" s="41"/>
      <c r="J106" s="41"/>
      <c r="K106" s="41"/>
    </row>
    <row r="107" spans="1:11" s="44" customFormat="1">
      <c r="A107" s="55"/>
      <c r="F107" s="41"/>
      <c r="G107" s="41"/>
      <c r="H107" s="41"/>
      <c r="I107" s="41"/>
      <c r="J107" s="41"/>
      <c r="K107" s="41"/>
    </row>
    <row r="108" spans="1:11" s="44" customFormat="1">
      <c r="A108" s="55"/>
      <c r="F108" s="41"/>
      <c r="G108" s="41"/>
      <c r="H108" s="41"/>
      <c r="I108" s="41"/>
      <c r="J108" s="41"/>
      <c r="K108" s="41"/>
    </row>
    <row r="109" spans="1:11" s="44" customFormat="1">
      <c r="A109" s="55"/>
      <c r="F109" s="41"/>
      <c r="G109" s="41"/>
      <c r="H109" s="41"/>
      <c r="I109" s="41"/>
      <c r="J109" s="41"/>
      <c r="K109" s="41"/>
    </row>
    <row r="110" spans="1:11" s="44" customFormat="1">
      <c r="A110" s="55"/>
      <c r="F110" s="41"/>
      <c r="G110" s="41"/>
      <c r="H110" s="41"/>
      <c r="I110" s="41"/>
      <c r="J110" s="41"/>
      <c r="K110" s="41"/>
    </row>
    <row r="111" spans="1:11" s="44" customFormat="1">
      <c r="A111" s="55"/>
      <c r="F111" s="41"/>
      <c r="G111" s="41"/>
      <c r="H111" s="41"/>
      <c r="I111" s="41"/>
      <c r="J111" s="41"/>
      <c r="K111" s="41"/>
    </row>
    <row r="112" spans="1:11" s="44" customFormat="1">
      <c r="A112" s="55"/>
      <c r="F112" s="41"/>
      <c r="G112" s="41"/>
      <c r="H112" s="41"/>
      <c r="I112" s="41"/>
      <c r="J112" s="41"/>
      <c r="K112" s="41"/>
    </row>
    <row r="113" spans="1:11" s="44" customFormat="1">
      <c r="A113" s="55"/>
      <c r="F113" s="41"/>
      <c r="G113" s="41"/>
      <c r="H113" s="41"/>
      <c r="I113" s="41"/>
      <c r="J113" s="41"/>
      <c r="K113" s="41"/>
    </row>
    <row r="114" spans="1:11" s="44" customFormat="1">
      <c r="A114" s="55"/>
      <c r="F114" s="41"/>
      <c r="G114" s="41"/>
      <c r="H114" s="41"/>
      <c r="I114" s="41"/>
      <c r="J114" s="41"/>
      <c r="K114" s="41"/>
    </row>
    <row r="115" spans="1:11" s="44" customFormat="1">
      <c r="A115" s="55"/>
      <c r="F115" s="41"/>
      <c r="G115" s="41"/>
      <c r="H115" s="41"/>
      <c r="I115" s="41"/>
      <c r="J115" s="41"/>
      <c r="K115" s="41"/>
    </row>
    <row r="116" spans="1:11" s="44" customFormat="1">
      <c r="A116" s="55"/>
      <c r="F116" s="41"/>
      <c r="G116" s="41"/>
      <c r="H116" s="41"/>
      <c r="I116" s="41"/>
      <c r="J116" s="41"/>
      <c r="K116" s="41"/>
    </row>
    <row r="117" spans="1:11" s="44" customFormat="1">
      <c r="A117" s="55"/>
      <c r="F117" s="41"/>
      <c r="G117" s="41"/>
      <c r="H117" s="41"/>
      <c r="I117" s="41"/>
      <c r="J117" s="41"/>
      <c r="K117" s="41"/>
    </row>
    <row r="118" spans="1:11" s="44" customFormat="1">
      <c r="A118" s="55"/>
      <c r="F118" s="41"/>
      <c r="G118" s="41"/>
      <c r="H118" s="41"/>
      <c r="I118" s="41"/>
      <c r="J118" s="41"/>
      <c r="K118" s="41"/>
    </row>
    <row r="119" spans="1:11" s="44" customFormat="1">
      <c r="A119" s="55"/>
      <c r="F119" s="41"/>
      <c r="G119" s="41"/>
      <c r="H119" s="41"/>
      <c r="I119" s="41"/>
      <c r="J119" s="41"/>
      <c r="K119" s="41"/>
    </row>
    <row r="120" spans="1:11" s="44" customFormat="1">
      <c r="A120" s="55"/>
      <c r="F120" s="41"/>
      <c r="G120" s="41"/>
      <c r="H120" s="41"/>
      <c r="I120" s="41"/>
      <c r="J120" s="41"/>
      <c r="K120" s="41"/>
    </row>
    <row r="121" spans="1:11" s="44" customFormat="1">
      <c r="A121" s="55"/>
      <c r="F121" s="41"/>
      <c r="G121" s="41"/>
      <c r="H121" s="41"/>
      <c r="I121" s="41"/>
      <c r="J121" s="41"/>
      <c r="K121" s="41"/>
    </row>
    <row r="122" spans="1:11" s="44" customFormat="1">
      <c r="A122" s="55"/>
      <c r="F122" s="41"/>
      <c r="G122" s="41"/>
      <c r="H122" s="41"/>
      <c r="I122" s="41"/>
      <c r="J122" s="41"/>
      <c r="K122" s="41"/>
    </row>
    <row r="123" spans="1:11" s="44" customFormat="1">
      <c r="A123" s="55"/>
      <c r="F123" s="41"/>
      <c r="G123" s="41"/>
      <c r="H123" s="41"/>
      <c r="I123" s="41"/>
      <c r="J123" s="41"/>
      <c r="K123" s="41"/>
    </row>
    <row r="124" spans="1:11" s="44" customFormat="1">
      <c r="A124" s="55"/>
      <c r="F124" s="41"/>
      <c r="G124" s="41"/>
      <c r="H124" s="41"/>
      <c r="I124" s="41"/>
      <c r="J124" s="41"/>
      <c r="K124" s="41"/>
    </row>
    <row r="125" spans="1:11" s="44" customFormat="1">
      <c r="A125" s="55"/>
      <c r="F125" s="41"/>
      <c r="G125" s="41"/>
      <c r="H125" s="41"/>
      <c r="I125" s="41"/>
      <c r="J125" s="41"/>
      <c r="K125" s="41"/>
    </row>
    <row r="126" spans="1:11" s="44" customFormat="1">
      <c r="A126" s="55"/>
      <c r="F126" s="41"/>
      <c r="G126" s="41"/>
      <c r="H126" s="41"/>
      <c r="I126" s="41"/>
      <c r="J126" s="41"/>
      <c r="K126" s="41"/>
    </row>
    <row r="127" spans="1:11" s="44" customFormat="1">
      <c r="A127" s="55"/>
      <c r="F127" s="41"/>
      <c r="G127" s="41"/>
      <c r="H127" s="41"/>
      <c r="I127" s="41"/>
      <c r="J127" s="41"/>
      <c r="K127" s="41"/>
    </row>
    <row r="128" spans="1:11" s="44" customFormat="1">
      <c r="A128" s="55"/>
      <c r="F128" s="41"/>
      <c r="G128" s="41"/>
      <c r="H128" s="41"/>
      <c r="I128" s="41"/>
      <c r="J128" s="41"/>
      <c r="K128" s="41"/>
    </row>
    <row r="129" spans="1:11" s="44" customFormat="1">
      <c r="A129" s="55"/>
      <c r="F129" s="41"/>
      <c r="G129" s="41"/>
      <c r="H129" s="41"/>
      <c r="I129" s="41"/>
      <c r="J129" s="41"/>
      <c r="K129" s="41"/>
    </row>
    <row r="130" spans="1:11" s="44" customFormat="1">
      <c r="A130" s="55"/>
      <c r="F130" s="41"/>
      <c r="G130" s="41"/>
      <c r="H130" s="41"/>
      <c r="I130" s="41"/>
      <c r="J130" s="41"/>
      <c r="K130" s="41"/>
    </row>
    <row r="131" spans="1:11" s="44" customFormat="1">
      <c r="A131" s="55"/>
      <c r="F131" s="41"/>
      <c r="G131" s="41"/>
      <c r="H131" s="41"/>
      <c r="I131" s="41"/>
      <c r="J131" s="41"/>
      <c r="K131" s="41"/>
    </row>
    <row r="132" spans="1:11" s="44" customFormat="1">
      <c r="A132" s="55"/>
      <c r="F132" s="41"/>
      <c r="G132" s="41"/>
      <c r="H132" s="41"/>
      <c r="I132" s="41"/>
      <c r="J132" s="41"/>
      <c r="K132" s="41"/>
    </row>
    <row r="133" spans="1:11" s="44" customFormat="1">
      <c r="A133" s="55"/>
      <c r="F133" s="41"/>
      <c r="G133" s="41"/>
      <c r="H133" s="41"/>
      <c r="I133" s="41"/>
      <c r="J133" s="41"/>
      <c r="K133" s="41"/>
    </row>
    <row r="134" spans="1:11" s="44" customFormat="1">
      <c r="A134" s="55"/>
      <c r="F134" s="41"/>
      <c r="G134" s="41"/>
      <c r="H134" s="41"/>
      <c r="I134" s="41"/>
      <c r="J134" s="41"/>
      <c r="K134" s="41"/>
    </row>
    <row r="135" spans="1:11" s="44" customFormat="1">
      <c r="A135" s="55"/>
      <c r="F135" s="41"/>
      <c r="G135" s="41"/>
      <c r="H135" s="41"/>
      <c r="I135" s="41"/>
      <c r="J135" s="41"/>
      <c r="K135" s="41"/>
    </row>
    <row r="136" spans="1:11" s="44" customFormat="1">
      <c r="A136" s="55"/>
      <c r="F136" s="41"/>
      <c r="G136" s="41"/>
      <c r="H136" s="41"/>
      <c r="I136" s="41"/>
      <c r="J136" s="41"/>
      <c r="K136" s="41"/>
    </row>
    <row r="137" spans="1:11" s="44" customFormat="1">
      <c r="A137" s="55"/>
      <c r="F137" s="41"/>
      <c r="G137" s="41"/>
      <c r="H137" s="41"/>
      <c r="I137" s="41"/>
      <c r="J137" s="41"/>
      <c r="K137" s="41"/>
    </row>
    <row r="138" spans="1:11" s="44" customFormat="1">
      <c r="A138" s="55"/>
      <c r="F138" s="41"/>
      <c r="G138" s="41"/>
      <c r="H138" s="41"/>
      <c r="I138" s="41"/>
      <c r="J138" s="41"/>
      <c r="K138" s="41"/>
    </row>
    <row r="139" spans="1:11" s="44" customFormat="1">
      <c r="A139" s="55"/>
      <c r="F139" s="41"/>
      <c r="G139" s="41"/>
      <c r="H139" s="41"/>
      <c r="I139" s="41"/>
      <c r="J139" s="41"/>
      <c r="K139" s="41"/>
    </row>
    <row r="140" spans="1:11" s="44" customFormat="1">
      <c r="A140" s="55"/>
      <c r="F140" s="41"/>
      <c r="G140" s="41"/>
      <c r="H140" s="41"/>
      <c r="I140" s="41"/>
      <c r="J140" s="41"/>
      <c r="K140" s="41"/>
    </row>
    <row r="141" spans="1:11" s="44" customFormat="1">
      <c r="A141" s="55"/>
      <c r="F141" s="41"/>
      <c r="G141" s="41"/>
      <c r="H141" s="41"/>
      <c r="I141" s="41"/>
      <c r="J141" s="41"/>
      <c r="K141" s="41"/>
    </row>
    <row r="142" spans="1:11" s="44" customFormat="1">
      <c r="A142" s="55"/>
      <c r="F142" s="41"/>
      <c r="G142" s="41"/>
      <c r="H142" s="41"/>
      <c r="I142" s="41"/>
      <c r="J142" s="41"/>
      <c r="K142" s="41"/>
    </row>
    <row r="143" spans="1:11" s="44" customFormat="1">
      <c r="A143" s="55"/>
      <c r="F143" s="41"/>
      <c r="G143" s="41"/>
      <c r="H143" s="41"/>
      <c r="I143" s="41"/>
      <c r="J143" s="41"/>
      <c r="K143" s="41"/>
    </row>
    <row r="144" spans="1:11" s="44" customFormat="1">
      <c r="A144" s="55"/>
      <c r="F144" s="41"/>
      <c r="G144" s="41"/>
      <c r="H144" s="41"/>
      <c r="I144" s="41"/>
      <c r="J144" s="41"/>
      <c r="K144" s="41"/>
    </row>
    <row r="145" spans="1:11" s="44" customFormat="1">
      <c r="A145" s="55"/>
      <c r="F145" s="41"/>
      <c r="G145" s="41"/>
      <c r="H145" s="41"/>
      <c r="I145" s="41"/>
      <c r="J145" s="41"/>
      <c r="K145" s="41"/>
    </row>
    <row r="146" spans="1:11" s="44" customFormat="1">
      <c r="A146" s="55"/>
      <c r="F146" s="41"/>
      <c r="G146" s="41"/>
      <c r="H146" s="41"/>
      <c r="I146" s="41"/>
      <c r="J146" s="41"/>
      <c r="K146" s="41"/>
    </row>
    <row r="147" spans="1:11" s="44" customFormat="1">
      <c r="A147" s="55"/>
      <c r="F147" s="41"/>
      <c r="G147" s="41"/>
      <c r="H147" s="41"/>
      <c r="I147" s="41"/>
      <c r="J147" s="41"/>
      <c r="K147" s="41"/>
    </row>
    <row r="148" spans="1:11" s="44" customFormat="1">
      <c r="A148" s="55"/>
      <c r="F148" s="41"/>
      <c r="G148" s="41"/>
      <c r="H148" s="41"/>
      <c r="I148" s="41"/>
      <c r="J148" s="41"/>
      <c r="K148" s="41"/>
    </row>
    <row r="149" spans="1:11" s="44" customFormat="1">
      <c r="A149" s="55"/>
      <c r="F149" s="41"/>
      <c r="G149" s="41"/>
      <c r="H149" s="41"/>
      <c r="I149" s="41"/>
      <c r="J149" s="41"/>
      <c r="K149" s="41"/>
    </row>
    <row r="150" spans="1:11" s="44" customFormat="1">
      <c r="A150" s="55"/>
      <c r="F150" s="41"/>
      <c r="G150" s="41"/>
      <c r="H150" s="41"/>
      <c r="I150" s="41"/>
      <c r="J150" s="41"/>
      <c r="K150" s="41"/>
    </row>
    <row r="151" spans="1:11" s="44" customFormat="1">
      <c r="A151" s="55"/>
      <c r="F151" s="41"/>
      <c r="G151" s="41"/>
      <c r="H151" s="41"/>
      <c r="I151" s="41"/>
      <c r="J151" s="41"/>
      <c r="K151" s="41"/>
    </row>
    <row r="152" spans="1:11" s="44" customFormat="1">
      <c r="A152" s="55"/>
      <c r="F152" s="41"/>
      <c r="G152" s="41"/>
      <c r="H152" s="41"/>
      <c r="I152" s="41"/>
      <c r="J152" s="41"/>
      <c r="K152" s="41"/>
    </row>
    <row r="153" spans="1:11" s="44" customFormat="1">
      <c r="A153" s="55"/>
      <c r="F153" s="41"/>
      <c r="G153" s="41"/>
      <c r="H153" s="41"/>
      <c r="I153" s="41"/>
      <c r="J153" s="41"/>
      <c r="K153" s="41"/>
    </row>
    <row r="154" spans="1:11" s="44" customFormat="1">
      <c r="A154" s="55"/>
      <c r="F154" s="41"/>
      <c r="G154" s="41"/>
      <c r="H154" s="41"/>
      <c r="I154" s="41"/>
      <c r="J154" s="41"/>
      <c r="K154" s="41"/>
    </row>
    <row r="155" spans="1:11" s="44" customFormat="1">
      <c r="A155" s="55"/>
      <c r="F155" s="41"/>
      <c r="G155" s="41"/>
      <c r="H155" s="41"/>
      <c r="I155" s="41"/>
      <c r="J155" s="41"/>
      <c r="K155" s="41"/>
    </row>
    <row r="156" spans="1:11" s="44" customFormat="1">
      <c r="A156" s="55"/>
      <c r="F156" s="41"/>
      <c r="G156" s="41"/>
      <c r="H156" s="41"/>
      <c r="I156" s="41"/>
      <c r="J156" s="41"/>
      <c r="K156" s="41"/>
    </row>
    <row r="157" spans="1:11" s="44" customFormat="1">
      <c r="A157" s="55"/>
      <c r="F157" s="41"/>
      <c r="G157" s="41"/>
      <c r="H157" s="41"/>
      <c r="I157" s="41"/>
      <c r="J157" s="41"/>
      <c r="K157" s="41"/>
    </row>
    <row r="158" spans="1:11" s="44" customFormat="1">
      <c r="A158" s="55"/>
      <c r="F158" s="41"/>
      <c r="G158" s="41"/>
      <c r="H158" s="41"/>
      <c r="I158" s="41"/>
      <c r="J158" s="41"/>
      <c r="K158" s="41"/>
    </row>
    <row r="159" spans="1:11" s="44" customFormat="1">
      <c r="A159" s="55"/>
      <c r="F159" s="41"/>
      <c r="G159" s="41"/>
      <c r="H159" s="41"/>
      <c r="I159" s="41"/>
      <c r="J159" s="41"/>
      <c r="K159" s="41"/>
    </row>
    <row r="160" spans="1:11" s="44" customFormat="1">
      <c r="A160" s="55"/>
      <c r="F160" s="41"/>
      <c r="G160" s="41"/>
      <c r="H160" s="41"/>
      <c r="I160" s="41"/>
      <c r="J160" s="41"/>
      <c r="K160" s="41"/>
    </row>
    <row r="161" spans="1:11" s="44" customFormat="1">
      <c r="A161" s="55"/>
      <c r="F161" s="41"/>
      <c r="G161" s="41"/>
      <c r="H161" s="41"/>
      <c r="I161" s="41"/>
      <c r="J161" s="41"/>
      <c r="K161" s="41"/>
    </row>
    <row r="162" spans="1:11" s="44" customFormat="1">
      <c r="A162" s="55"/>
      <c r="F162" s="41"/>
      <c r="G162" s="41"/>
      <c r="H162" s="41"/>
      <c r="I162" s="41"/>
      <c r="J162" s="41"/>
      <c r="K162" s="41"/>
    </row>
    <row r="163" spans="1:11" s="44" customFormat="1">
      <c r="A163" s="55"/>
      <c r="F163" s="41"/>
      <c r="G163" s="41"/>
      <c r="H163" s="41"/>
      <c r="I163" s="41"/>
      <c r="J163" s="41"/>
      <c r="K163" s="41"/>
    </row>
    <row r="164" spans="1:11" s="44" customFormat="1">
      <c r="A164" s="55"/>
      <c r="F164" s="41"/>
      <c r="G164" s="41"/>
      <c r="H164" s="41"/>
      <c r="I164" s="41"/>
      <c r="J164" s="41"/>
      <c r="K164" s="41"/>
    </row>
    <row r="165" spans="1:11" s="44" customFormat="1">
      <c r="A165" s="55"/>
      <c r="F165" s="41"/>
      <c r="G165" s="41"/>
      <c r="H165" s="41"/>
      <c r="I165" s="41"/>
      <c r="J165" s="41"/>
      <c r="K165" s="41"/>
    </row>
    <row r="166" spans="1:11" s="44" customFormat="1">
      <c r="A166" s="55"/>
      <c r="F166" s="41"/>
      <c r="G166" s="41"/>
      <c r="H166" s="41"/>
      <c r="I166" s="41"/>
      <c r="J166" s="41"/>
      <c r="K166" s="41"/>
    </row>
    <row r="167" spans="1:11" s="44" customFormat="1">
      <c r="A167" s="55"/>
      <c r="F167" s="41"/>
      <c r="G167" s="41"/>
      <c r="H167" s="41"/>
      <c r="I167" s="41"/>
      <c r="J167" s="41"/>
      <c r="K167" s="41"/>
    </row>
    <row r="168" spans="1:11" s="44" customFormat="1">
      <c r="A168" s="55"/>
      <c r="F168" s="41"/>
      <c r="G168" s="41"/>
      <c r="H168" s="41"/>
      <c r="I168" s="41"/>
      <c r="J168" s="41"/>
      <c r="K168" s="41"/>
    </row>
    <row r="169" spans="1:11" s="44" customFormat="1">
      <c r="A169" s="55"/>
      <c r="F169" s="41"/>
      <c r="G169" s="41"/>
      <c r="H169" s="41"/>
      <c r="I169" s="41"/>
      <c r="J169" s="41"/>
      <c r="K169" s="41"/>
    </row>
    <row r="170" spans="1:11" s="44" customFormat="1">
      <c r="A170" s="55"/>
      <c r="F170" s="41"/>
      <c r="G170" s="41"/>
      <c r="H170" s="41"/>
      <c r="I170" s="41"/>
      <c r="J170" s="41"/>
      <c r="K170" s="41"/>
    </row>
    <row r="171" spans="1:11" s="44" customFormat="1">
      <c r="A171" s="55"/>
      <c r="F171" s="41"/>
      <c r="G171" s="41"/>
      <c r="H171" s="41"/>
      <c r="I171" s="41"/>
      <c r="J171" s="41"/>
      <c r="K171" s="41"/>
    </row>
    <row r="172" spans="1:11" s="44" customFormat="1">
      <c r="A172" s="55"/>
      <c r="F172" s="41"/>
      <c r="G172" s="41"/>
      <c r="H172" s="41"/>
      <c r="I172" s="41"/>
      <c r="J172" s="41"/>
      <c r="K172" s="41"/>
    </row>
    <row r="173" spans="1:11" s="44" customFormat="1">
      <c r="A173" s="55"/>
      <c r="F173" s="41"/>
      <c r="G173" s="41"/>
      <c r="H173" s="41"/>
      <c r="I173" s="41"/>
      <c r="J173" s="41"/>
      <c r="K173" s="41"/>
    </row>
    <row r="174" spans="1:11" s="44" customFormat="1">
      <c r="A174" s="55"/>
      <c r="F174" s="41"/>
      <c r="G174" s="41"/>
      <c r="H174" s="41"/>
      <c r="I174" s="41"/>
      <c r="J174" s="41"/>
      <c r="K174" s="41"/>
    </row>
    <row r="175" spans="1:11" s="44" customFormat="1">
      <c r="A175" s="55"/>
      <c r="F175" s="41"/>
      <c r="G175" s="41"/>
      <c r="H175" s="41"/>
      <c r="I175" s="41"/>
      <c r="J175" s="41"/>
      <c r="K175" s="41"/>
    </row>
    <row r="176" spans="1:11" s="44" customFormat="1">
      <c r="A176" s="55"/>
      <c r="F176" s="41"/>
      <c r="G176" s="41"/>
      <c r="H176" s="41"/>
      <c r="I176" s="41"/>
      <c r="J176" s="41"/>
      <c r="K176" s="41"/>
    </row>
    <row r="177" spans="1:11" s="44" customFormat="1">
      <c r="A177" s="55"/>
      <c r="F177" s="41"/>
      <c r="G177" s="41"/>
      <c r="H177" s="41"/>
      <c r="I177" s="41"/>
      <c r="J177" s="41"/>
      <c r="K177" s="41"/>
    </row>
    <row r="178" spans="1:11" s="44" customFormat="1">
      <c r="A178" s="55"/>
      <c r="F178" s="41"/>
      <c r="G178" s="41"/>
      <c r="H178" s="41"/>
      <c r="I178" s="41"/>
      <c r="J178" s="41"/>
      <c r="K178" s="41"/>
    </row>
    <row r="179" spans="1:11" s="44" customFormat="1">
      <c r="A179" s="55"/>
      <c r="F179" s="41"/>
      <c r="G179" s="41"/>
      <c r="H179" s="41"/>
      <c r="I179" s="41"/>
      <c r="J179" s="41"/>
      <c r="K179" s="41"/>
    </row>
    <row r="180" spans="1:11" s="44" customFormat="1">
      <c r="A180" s="55"/>
      <c r="F180" s="41"/>
      <c r="G180" s="41"/>
      <c r="H180" s="41"/>
      <c r="I180" s="41"/>
      <c r="J180" s="41"/>
      <c r="K180" s="41"/>
    </row>
    <row r="181" spans="1:11" s="44" customFormat="1">
      <c r="A181" s="55"/>
      <c r="F181" s="41"/>
      <c r="G181" s="41"/>
      <c r="H181" s="41"/>
      <c r="I181" s="41"/>
      <c r="J181" s="41"/>
      <c r="K181" s="41"/>
    </row>
    <row r="182" spans="1:11" s="44" customFormat="1">
      <c r="A182" s="55"/>
      <c r="F182" s="41"/>
      <c r="G182" s="41"/>
      <c r="H182" s="41"/>
      <c r="I182" s="41"/>
      <c r="J182" s="41"/>
      <c r="K182" s="41"/>
    </row>
    <row r="183" spans="1:11" s="44" customFormat="1">
      <c r="A183" s="55"/>
      <c r="F183" s="41"/>
      <c r="G183" s="41"/>
      <c r="H183" s="41"/>
      <c r="I183" s="41"/>
      <c r="J183" s="41"/>
      <c r="K183" s="41"/>
    </row>
    <row r="184" spans="1:11" s="44" customFormat="1">
      <c r="A184" s="55"/>
      <c r="F184" s="41"/>
      <c r="G184" s="41"/>
      <c r="H184" s="41"/>
      <c r="I184" s="41"/>
      <c r="J184" s="41"/>
      <c r="K184" s="41"/>
    </row>
    <row r="185" spans="1:11" s="44" customFormat="1">
      <c r="A185" s="55"/>
      <c r="F185" s="41"/>
      <c r="G185" s="41"/>
      <c r="H185" s="41"/>
      <c r="I185" s="41"/>
      <c r="J185" s="41"/>
      <c r="K185" s="41"/>
    </row>
    <row r="186" spans="1:11" s="44" customFormat="1">
      <c r="A186" s="55"/>
      <c r="F186" s="41"/>
      <c r="G186" s="41"/>
      <c r="H186" s="41"/>
      <c r="I186" s="41"/>
      <c r="J186" s="41"/>
      <c r="K186" s="41"/>
    </row>
    <row r="187" spans="1:11" s="44" customFormat="1">
      <c r="A187" s="55"/>
      <c r="F187" s="41"/>
      <c r="G187" s="41"/>
      <c r="H187" s="41"/>
      <c r="I187" s="41"/>
      <c r="J187" s="41"/>
      <c r="K187" s="41"/>
    </row>
    <row r="188" spans="1:11" s="44" customFormat="1">
      <c r="A188" s="55"/>
      <c r="F188" s="41"/>
      <c r="G188" s="41"/>
      <c r="H188" s="41"/>
      <c r="I188" s="41"/>
      <c r="J188" s="41"/>
      <c r="K188" s="41"/>
    </row>
    <row r="189" spans="1:11" s="44" customFormat="1">
      <c r="A189" s="55"/>
      <c r="F189" s="41"/>
      <c r="G189" s="41"/>
      <c r="H189" s="41"/>
      <c r="I189" s="41"/>
      <c r="J189" s="41"/>
      <c r="K189" s="41"/>
    </row>
    <row r="190" spans="1:11" s="44" customFormat="1">
      <c r="A190" s="55"/>
      <c r="F190" s="41"/>
      <c r="G190" s="41"/>
      <c r="H190" s="41"/>
      <c r="I190" s="41"/>
      <c r="J190" s="41"/>
      <c r="K190" s="41"/>
    </row>
    <row r="191" spans="1:11" s="44" customFormat="1">
      <c r="A191" s="55"/>
      <c r="F191" s="41"/>
      <c r="G191" s="41"/>
      <c r="H191" s="41"/>
      <c r="I191" s="41"/>
      <c r="J191" s="41"/>
      <c r="K191" s="41"/>
    </row>
    <row r="192" spans="1:11" s="44" customFormat="1">
      <c r="A192" s="55"/>
      <c r="F192" s="41"/>
      <c r="G192" s="41"/>
      <c r="H192" s="41"/>
      <c r="I192" s="41"/>
      <c r="J192" s="41"/>
      <c r="K192" s="41"/>
    </row>
  </sheetData>
  <sheetProtection formatCells="0" formatColumns="0" formatRows="0" insertRows="0" deleteRows="0"/>
  <mergeCells count="13">
    <mergeCell ref="A1:I1"/>
    <mergeCell ref="A3:A4"/>
    <mergeCell ref="B3:B4"/>
    <mergeCell ref="C3:C4"/>
    <mergeCell ref="D3:D4"/>
    <mergeCell ref="E3:E4"/>
    <mergeCell ref="F3:I3"/>
    <mergeCell ref="C42:E42"/>
    <mergeCell ref="G42:I42"/>
    <mergeCell ref="A6:I6"/>
    <mergeCell ref="A18:I18"/>
    <mergeCell ref="C41:E41"/>
    <mergeCell ref="G41:I41"/>
  </mergeCells>
  <phoneticPr fontId="4" type="noConversion"/>
  <pageMargins left="0.78740157480314965" right="0.39370078740157483" top="0.59055118110236227" bottom="0.59055118110236227" header="0.19685039370078741" footer="0.11811023622047245"/>
  <pageSetup paperSize="9" scale="54" fitToHeight="2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117"/>
  <sheetViews>
    <sheetView topLeftCell="A7" zoomScale="75" zoomScaleNormal="75" zoomScaleSheetLayoutView="75" workbookViewId="0">
      <pane xSplit="1" topLeftCell="B1" activePane="topRight" state="frozen"/>
      <selection pane="topRight" activeCell="H7" sqref="H7"/>
    </sheetView>
  </sheetViews>
  <sheetFormatPr defaultRowHeight="18.75" outlineLevelRow="1"/>
  <cols>
    <col min="1" max="1" width="53.28515625" style="1" customWidth="1"/>
    <col min="2" max="2" width="13.7109375" style="1" customWidth="1"/>
    <col min="3" max="3" width="12.140625" style="293" customWidth="1"/>
    <col min="4" max="4" width="13.140625" style="1" customWidth="1"/>
    <col min="5" max="5" width="13.85546875" style="1" customWidth="1"/>
    <col min="6" max="9" width="13.7109375" style="1" bestFit="1" customWidth="1"/>
    <col min="10" max="16384" width="9.140625" style="1"/>
  </cols>
  <sheetData>
    <row r="1" spans="1:9">
      <c r="A1" s="379" t="s">
        <v>376</v>
      </c>
      <c r="B1" s="379"/>
      <c r="C1" s="379"/>
      <c r="D1" s="379"/>
      <c r="E1" s="379"/>
      <c r="F1" s="379"/>
      <c r="G1" s="379"/>
      <c r="H1" s="379"/>
      <c r="I1" s="379"/>
    </row>
    <row r="2" spans="1:9" outlineLevel="1">
      <c r="A2" s="18"/>
      <c r="B2" s="18"/>
      <c r="C2" s="289"/>
      <c r="D2" s="18"/>
      <c r="E2" s="18"/>
      <c r="F2" s="18"/>
      <c r="G2" s="18"/>
      <c r="H2" s="18"/>
      <c r="I2" s="18"/>
    </row>
    <row r="3" spans="1:9" ht="48" customHeight="1">
      <c r="A3" s="421" t="s">
        <v>271</v>
      </c>
      <c r="B3" s="419" t="s">
        <v>0</v>
      </c>
      <c r="C3" s="423" t="s">
        <v>31</v>
      </c>
      <c r="D3" s="419" t="s">
        <v>69</v>
      </c>
      <c r="E3" s="419" t="s">
        <v>182</v>
      </c>
      <c r="F3" s="420" t="s">
        <v>368</v>
      </c>
      <c r="G3" s="420"/>
      <c r="H3" s="420"/>
      <c r="I3" s="420"/>
    </row>
    <row r="4" spans="1:9" ht="38.25" customHeight="1">
      <c r="A4" s="422"/>
      <c r="B4" s="419"/>
      <c r="C4" s="423"/>
      <c r="D4" s="419"/>
      <c r="E4" s="419"/>
      <c r="F4" s="11" t="s">
        <v>377</v>
      </c>
      <c r="G4" s="11" t="s">
        <v>370</v>
      </c>
      <c r="H4" s="11" t="s">
        <v>371</v>
      </c>
      <c r="I4" s="11" t="s">
        <v>85</v>
      </c>
    </row>
    <row r="5" spans="1:9" ht="18" customHeight="1">
      <c r="A5" s="7">
        <v>1</v>
      </c>
      <c r="B5" s="11">
        <v>2</v>
      </c>
      <c r="C5" s="290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</row>
    <row r="6" spans="1:9" s="53" customFormat="1" ht="20.100000000000001" customHeight="1">
      <c r="A6" s="411" t="s">
        <v>172</v>
      </c>
      <c r="B6" s="412"/>
      <c r="C6" s="412"/>
      <c r="D6" s="412"/>
      <c r="E6" s="412"/>
      <c r="F6" s="412"/>
      <c r="G6" s="412"/>
      <c r="H6" s="412"/>
      <c r="I6" s="413"/>
    </row>
    <row r="7" spans="1:9" ht="37.5">
      <c r="A7" s="155" t="s">
        <v>192</v>
      </c>
      <c r="B7" s="141">
        <v>1170</v>
      </c>
      <c r="C7" s="283">
        <f>'I. Фін результат'!C86</f>
        <v>-3290</v>
      </c>
      <c r="D7" s="160">
        <f>'I. Фін результат'!D86</f>
        <v>-4510</v>
      </c>
      <c r="E7" s="160">
        <f>'I. Фін результат'!E86</f>
        <v>-13585</v>
      </c>
      <c r="F7" s="160">
        <f>'I. Фін результат'!F86</f>
        <v>-5123</v>
      </c>
      <c r="G7" s="160">
        <f>'I. Фін результат'!G86</f>
        <v>-10743</v>
      </c>
      <c r="H7" s="160">
        <f>'I. Фін результат'!H86</f>
        <v>-16548</v>
      </c>
      <c r="I7" s="160">
        <f>'I. Фін результат'!I86</f>
        <v>-22363</v>
      </c>
    </row>
    <row r="8" spans="1:9" ht="20.100000000000001" customHeight="1">
      <c r="A8" s="155" t="s">
        <v>193</v>
      </c>
      <c r="B8" s="185"/>
      <c r="C8" s="283"/>
      <c r="D8" s="160"/>
      <c r="E8" s="160"/>
      <c r="F8" s="160"/>
      <c r="G8" s="160"/>
      <c r="H8" s="160"/>
      <c r="I8" s="160"/>
    </row>
    <row r="9" spans="1:9" ht="20.100000000000001" customHeight="1">
      <c r="A9" s="155" t="s">
        <v>196</v>
      </c>
      <c r="B9" s="233">
        <v>3000</v>
      </c>
      <c r="C9" s="283">
        <f>'I. Фін результат'!C112</f>
        <v>6</v>
      </c>
      <c r="D9" s="160">
        <f>'I. Фін результат'!D112</f>
        <v>510</v>
      </c>
      <c r="E9" s="160">
        <f>'I. Фін результат'!E112</f>
        <v>3757</v>
      </c>
      <c r="F9" s="160">
        <f>'I. Фін результат'!F112</f>
        <v>957</v>
      </c>
      <c r="G9" s="160">
        <f>'I. Фін результат'!G112</f>
        <v>1904</v>
      </c>
      <c r="H9" s="160">
        <f>'I. Фін результат'!H112</f>
        <v>2852</v>
      </c>
      <c r="I9" s="160">
        <f>'I. Фін результат'!I112</f>
        <v>3803</v>
      </c>
    </row>
    <row r="10" spans="1:9" ht="20.100000000000001" customHeight="1">
      <c r="A10" s="155" t="s">
        <v>197</v>
      </c>
      <c r="B10" s="233">
        <v>3010</v>
      </c>
      <c r="C10" s="188"/>
      <c r="D10" s="159"/>
      <c r="E10" s="159">
        <v>-2</v>
      </c>
      <c r="F10" s="159"/>
      <c r="G10" s="159"/>
      <c r="H10" s="159"/>
      <c r="I10" s="159"/>
    </row>
    <row r="11" spans="1:9" ht="37.5">
      <c r="A11" s="155" t="s">
        <v>198</v>
      </c>
      <c r="B11" s="233">
        <v>3020</v>
      </c>
      <c r="C11" s="188"/>
      <c r="D11" s="159"/>
      <c r="E11" s="159"/>
      <c r="F11" s="159"/>
      <c r="G11" s="159"/>
      <c r="H11" s="159"/>
      <c r="I11" s="159"/>
    </row>
    <row r="12" spans="1:9" ht="56.25">
      <c r="A12" s="155" t="s">
        <v>199</v>
      </c>
      <c r="B12" s="233">
        <v>3030</v>
      </c>
      <c r="C12" s="188">
        <v>-1</v>
      </c>
      <c r="D12" s="159"/>
      <c r="E12" s="159"/>
      <c r="F12" s="159"/>
      <c r="G12" s="159"/>
      <c r="H12" s="159"/>
      <c r="I12" s="159"/>
    </row>
    <row r="13" spans="1:9" ht="56.25">
      <c r="A13" s="274" t="s">
        <v>538</v>
      </c>
      <c r="B13" s="272" t="s">
        <v>539</v>
      </c>
      <c r="C13" s="280"/>
      <c r="D13" s="268"/>
      <c r="E13" s="268"/>
      <c r="F13" s="268"/>
      <c r="G13" s="268"/>
      <c r="H13" s="268"/>
      <c r="I13" s="268"/>
    </row>
    <row r="14" spans="1:9">
      <c r="A14" s="274" t="s">
        <v>537</v>
      </c>
      <c r="B14" s="272" t="s">
        <v>540</v>
      </c>
      <c r="C14" s="280">
        <v>-1</v>
      </c>
      <c r="D14" s="268"/>
      <c r="E14" s="268"/>
      <c r="F14" s="268"/>
      <c r="G14" s="268"/>
      <c r="H14" s="268"/>
      <c r="I14" s="268"/>
    </row>
    <row r="15" spans="1:9" ht="42.75" customHeight="1">
      <c r="A15" s="157" t="s">
        <v>258</v>
      </c>
      <c r="B15" s="186">
        <v>3040</v>
      </c>
      <c r="C15" s="284">
        <f t="shared" ref="C15:I15" si="0">SUM(C7:C12)</f>
        <v>-3285</v>
      </c>
      <c r="D15" s="255">
        <f t="shared" si="0"/>
        <v>-4000</v>
      </c>
      <c r="E15" s="255">
        <f t="shared" si="0"/>
        <v>-9830</v>
      </c>
      <c r="F15" s="255">
        <f t="shared" si="0"/>
        <v>-4166</v>
      </c>
      <c r="G15" s="255">
        <f t="shared" si="0"/>
        <v>-8839</v>
      </c>
      <c r="H15" s="255">
        <f t="shared" si="0"/>
        <v>-13696</v>
      </c>
      <c r="I15" s="255">
        <f t="shared" si="0"/>
        <v>-18560</v>
      </c>
    </row>
    <row r="16" spans="1:9" ht="37.5">
      <c r="A16" s="155" t="s">
        <v>200</v>
      </c>
      <c r="B16" s="233">
        <v>3050</v>
      </c>
      <c r="C16" s="188">
        <v>-27</v>
      </c>
      <c r="D16" s="159"/>
      <c r="E16" s="159">
        <f>E17</f>
        <v>-122</v>
      </c>
      <c r="F16" s="159"/>
      <c r="G16" s="159"/>
      <c r="H16" s="159"/>
      <c r="I16" s="159"/>
    </row>
    <row r="17" spans="1:9" ht="37.5">
      <c r="A17" s="264" t="s">
        <v>526</v>
      </c>
      <c r="B17" s="260" t="s">
        <v>527</v>
      </c>
      <c r="C17" s="281">
        <v>-27</v>
      </c>
      <c r="D17" s="262"/>
      <c r="E17" s="262">
        <v>-122</v>
      </c>
      <c r="F17" s="262"/>
      <c r="G17" s="262"/>
      <c r="H17" s="262"/>
      <c r="I17" s="262"/>
    </row>
    <row r="18" spans="1:9" ht="37.5">
      <c r="A18" s="155" t="s">
        <v>201</v>
      </c>
      <c r="B18" s="233">
        <v>3060</v>
      </c>
      <c r="C18" s="188">
        <v>48</v>
      </c>
      <c r="D18" s="159"/>
      <c r="E18" s="159">
        <v>259</v>
      </c>
      <c r="F18" s="192"/>
      <c r="G18" s="192"/>
      <c r="H18" s="192"/>
      <c r="I18" s="192"/>
    </row>
    <row r="19" spans="1:9">
      <c r="A19" s="155" t="s">
        <v>411</v>
      </c>
      <c r="B19" s="265" t="s">
        <v>534</v>
      </c>
      <c r="C19" s="188">
        <v>48</v>
      </c>
      <c r="D19" s="159"/>
      <c r="E19" s="159">
        <v>259</v>
      </c>
      <c r="F19" s="192"/>
      <c r="G19" s="192"/>
      <c r="H19" s="192"/>
      <c r="I19" s="192"/>
    </row>
    <row r="20" spans="1:9" ht="20.100000000000001" customHeight="1">
      <c r="A20" s="157" t="s">
        <v>194</v>
      </c>
      <c r="B20" s="186">
        <v>3070</v>
      </c>
      <c r="C20" s="284">
        <f>C15+C16+C18</f>
        <v>-3264</v>
      </c>
      <c r="D20" s="255">
        <f>D15+D16+D18</f>
        <v>-4000</v>
      </c>
      <c r="E20" s="255">
        <f>E15+E16+E18</f>
        <v>-9693</v>
      </c>
      <c r="F20" s="255">
        <f t="shared" ref="F20:I20" si="1">F15+F16+F18</f>
        <v>-4166</v>
      </c>
      <c r="G20" s="255">
        <f t="shared" si="1"/>
        <v>-8839</v>
      </c>
      <c r="H20" s="255">
        <f t="shared" si="1"/>
        <v>-13696</v>
      </c>
      <c r="I20" s="255">
        <f t="shared" si="1"/>
        <v>-18560</v>
      </c>
    </row>
    <row r="21" spans="1:9" ht="20.100000000000001" customHeight="1">
      <c r="A21" s="155" t="s">
        <v>195</v>
      </c>
      <c r="B21" s="233">
        <v>3080</v>
      </c>
      <c r="C21" s="283">
        <f>'I. Фін результат'!C87</f>
        <v>0</v>
      </c>
      <c r="D21" s="160">
        <f>'I. Фін результат'!D87</f>
        <v>0</v>
      </c>
      <c r="E21" s="160">
        <f>'I. Фін результат'!E87</f>
        <v>0</v>
      </c>
      <c r="F21" s="160">
        <f>'I. Фін результат'!F87</f>
        <v>0</v>
      </c>
      <c r="G21" s="160">
        <f>'I. Фін результат'!G87</f>
        <v>0</v>
      </c>
      <c r="H21" s="160">
        <f>'I. Фін результат'!H87</f>
        <v>0</v>
      </c>
      <c r="I21" s="160">
        <f>'I. Фін результат'!I87</f>
        <v>0</v>
      </c>
    </row>
    <row r="22" spans="1:9" ht="37.5">
      <c r="A22" s="140" t="s">
        <v>171</v>
      </c>
      <c r="B22" s="186">
        <v>3090</v>
      </c>
      <c r="C22" s="284">
        <f>C20-C21</f>
        <v>-3264</v>
      </c>
      <c r="D22" s="255">
        <f t="shared" ref="D22:I22" si="2">D20-D21</f>
        <v>-4000</v>
      </c>
      <c r="E22" s="255">
        <f t="shared" si="2"/>
        <v>-9693</v>
      </c>
      <c r="F22" s="255">
        <f t="shared" si="2"/>
        <v>-4166</v>
      </c>
      <c r="G22" s="255">
        <f t="shared" si="2"/>
        <v>-8839</v>
      </c>
      <c r="H22" s="255">
        <f t="shared" si="2"/>
        <v>-13696</v>
      </c>
      <c r="I22" s="255">
        <f t="shared" si="2"/>
        <v>-18560</v>
      </c>
    </row>
    <row r="23" spans="1:9" ht="20.100000000000001" customHeight="1">
      <c r="A23" s="411" t="s">
        <v>173</v>
      </c>
      <c r="B23" s="412"/>
      <c r="C23" s="412"/>
      <c r="D23" s="412"/>
      <c r="E23" s="412"/>
      <c r="F23" s="412"/>
      <c r="G23" s="412"/>
      <c r="H23" s="412"/>
      <c r="I23" s="413"/>
    </row>
    <row r="24" spans="1:9" ht="20.100000000000001" customHeight="1">
      <c r="A24" s="157" t="s">
        <v>286</v>
      </c>
      <c r="B24" s="141"/>
      <c r="C24" s="188"/>
      <c r="D24" s="159"/>
      <c r="E24" s="159"/>
      <c r="F24" s="159"/>
      <c r="G24" s="159"/>
      <c r="H24" s="159"/>
      <c r="I24" s="159"/>
    </row>
    <row r="25" spans="1:9" ht="20.100000000000001" customHeight="1">
      <c r="A25" s="231" t="s">
        <v>32</v>
      </c>
      <c r="B25" s="141">
        <v>3200</v>
      </c>
      <c r="C25" s="188"/>
      <c r="D25" s="159"/>
      <c r="E25" s="159"/>
      <c r="F25" s="159"/>
      <c r="G25" s="159"/>
      <c r="H25" s="159"/>
      <c r="I25" s="159"/>
    </row>
    <row r="26" spans="1:9" ht="20.100000000000001" customHeight="1">
      <c r="A26" s="231" t="s">
        <v>33</v>
      </c>
      <c r="B26" s="141">
        <v>3210</v>
      </c>
      <c r="C26" s="188"/>
      <c r="D26" s="159"/>
      <c r="E26" s="159"/>
      <c r="F26" s="159"/>
      <c r="G26" s="159"/>
      <c r="H26" s="159"/>
      <c r="I26" s="159"/>
    </row>
    <row r="27" spans="1:9" ht="20.100000000000001" customHeight="1">
      <c r="A27" s="231" t="s">
        <v>55</v>
      </c>
      <c r="B27" s="141">
        <v>3220</v>
      </c>
      <c r="C27" s="188"/>
      <c r="D27" s="159"/>
      <c r="E27" s="159"/>
      <c r="F27" s="159"/>
      <c r="G27" s="159"/>
      <c r="H27" s="159"/>
      <c r="I27" s="159"/>
    </row>
    <row r="28" spans="1:9" ht="20.100000000000001" customHeight="1">
      <c r="A28" s="155" t="s">
        <v>177</v>
      </c>
      <c r="B28" s="141"/>
      <c r="C28" s="188"/>
      <c r="D28" s="159"/>
      <c r="E28" s="159"/>
      <c r="F28" s="159"/>
      <c r="G28" s="159"/>
      <c r="H28" s="159"/>
      <c r="I28" s="159"/>
    </row>
    <row r="29" spans="1:9" ht="20.100000000000001" customHeight="1">
      <c r="A29" s="231" t="s">
        <v>178</v>
      </c>
      <c r="B29" s="141">
        <v>3230</v>
      </c>
      <c r="C29" s="188"/>
      <c r="D29" s="159"/>
      <c r="E29" s="159"/>
      <c r="F29" s="159"/>
      <c r="G29" s="159"/>
      <c r="H29" s="159"/>
      <c r="I29" s="159"/>
    </row>
    <row r="30" spans="1:9" ht="20.100000000000001" customHeight="1">
      <c r="A30" s="231" t="s">
        <v>179</v>
      </c>
      <c r="B30" s="141">
        <v>3240</v>
      </c>
      <c r="C30" s="188"/>
      <c r="D30" s="159"/>
      <c r="E30" s="159"/>
      <c r="F30" s="159"/>
      <c r="G30" s="159"/>
      <c r="H30" s="159"/>
      <c r="I30" s="159"/>
    </row>
    <row r="31" spans="1:9" ht="20.100000000000001" customHeight="1">
      <c r="A31" s="155" t="s">
        <v>180</v>
      </c>
      <c r="B31" s="141">
        <v>3250</v>
      </c>
      <c r="C31" s="188"/>
      <c r="D31" s="159"/>
      <c r="E31" s="159"/>
      <c r="F31" s="159"/>
      <c r="G31" s="159"/>
      <c r="H31" s="159"/>
      <c r="I31" s="159"/>
    </row>
    <row r="32" spans="1:9" ht="20.100000000000001" customHeight="1">
      <c r="A32" s="231" t="s">
        <v>131</v>
      </c>
      <c r="B32" s="141">
        <v>3260</v>
      </c>
      <c r="C32" s="188"/>
      <c r="D32" s="159"/>
      <c r="E32" s="159"/>
      <c r="F32" s="159"/>
      <c r="G32" s="159"/>
      <c r="H32" s="159"/>
      <c r="I32" s="159"/>
    </row>
    <row r="33" spans="1:10" ht="20.100000000000001" customHeight="1">
      <c r="A33" s="157" t="s">
        <v>288</v>
      </c>
      <c r="B33" s="141"/>
      <c r="C33" s="188"/>
      <c r="D33" s="159"/>
      <c r="E33" s="159"/>
      <c r="F33" s="159"/>
      <c r="G33" s="159"/>
      <c r="H33" s="159"/>
      <c r="I33" s="159"/>
    </row>
    <row r="34" spans="1:10" ht="37.5">
      <c r="A34" s="231" t="s">
        <v>132</v>
      </c>
      <c r="B34" s="141">
        <v>3270</v>
      </c>
      <c r="C34" s="188">
        <f>SUM(C35:C37)</f>
        <v>22923</v>
      </c>
      <c r="D34" s="159">
        <f>SUM(D35:D37)</f>
        <v>40384</v>
      </c>
      <c r="E34" s="159">
        <f t="shared" ref="E34:I34" si="3">SUM(E35:E37)</f>
        <v>31718</v>
      </c>
      <c r="F34" s="159">
        <f t="shared" si="3"/>
        <v>0</v>
      </c>
      <c r="G34" s="159">
        <f t="shared" si="3"/>
        <v>0</v>
      </c>
      <c r="H34" s="159">
        <f t="shared" si="3"/>
        <v>0</v>
      </c>
      <c r="I34" s="159">
        <f t="shared" si="3"/>
        <v>0</v>
      </c>
    </row>
    <row r="35" spans="1:10" ht="73.5" customHeight="1">
      <c r="A35" s="231" t="s">
        <v>445</v>
      </c>
      <c r="B35" s="141" t="s">
        <v>446</v>
      </c>
      <c r="C35" s="188">
        <v>16069</v>
      </c>
      <c r="D35" s="159">
        <v>33080</v>
      </c>
      <c r="E35" s="159">
        <v>31718</v>
      </c>
      <c r="F35" s="159"/>
      <c r="G35" s="159"/>
      <c r="H35" s="159"/>
      <c r="I35" s="159"/>
    </row>
    <row r="36" spans="1:10" ht="58.5" customHeight="1">
      <c r="A36" s="231" t="s">
        <v>447</v>
      </c>
      <c r="B36" s="141" t="s">
        <v>449</v>
      </c>
      <c r="C36" s="188">
        <v>2647</v>
      </c>
      <c r="D36" s="159"/>
      <c r="E36" s="159"/>
      <c r="F36" s="159"/>
      <c r="G36" s="159"/>
      <c r="H36" s="159"/>
      <c r="I36" s="159"/>
    </row>
    <row r="37" spans="1:10" ht="103.5" customHeight="1">
      <c r="A37" s="231" t="s">
        <v>448</v>
      </c>
      <c r="B37" s="141" t="s">
        <v>450</v>
      </c>
      <c r="C37" s="188">
        <v>4207</v>
      </c>
      <c r="D37" s="159">
        <v>7304</v>
      </c>
      <c r="E37" s="159"/>
      <c r="F37" s="159"/>
      <c r="G37" s="159"/>
      <c r="H37" s="159"/>
      <c r="I37" s="159"/>
    </row>
    <row r="38" spans="1:10" ht="20.100000000000001" customHeight="1">
      <c r="A38" s="231" t="s">
        <v>133</v>
      </c>
      <c r="B38" s="141">
        <v>3280</v>
      </c>
      <c r="C38" s="188"/>
      <c r="D38" s="159"/>
      <c r="E38" s="159"/>
      <c r="F38" s="159"/>
      <c r="G38" s="159"/>
      <c r="H38" s="159"/>
      <c r="I38" s="159"/>
    </row>
    <row r="39" spans="1:10" ht="37.5">
      <c r="A39" s="231" t="s">
        <v>134</v>
      </c>
      <c r="B39" s="141">
        <v>3290</v>
      </c>
      <c r="C39" s="188">
        <f>C40+C41+C42+C43</f>
        <v>9913</v>
      </c>
      <c r="D39" s="159">
        <f>SUM(D40:D43)</f>
        <v>0</v>
      </c>
      <c r="E39" s="159">
        <f>SUM(E40:E43)</f>
        <v>0</v>
      </c>
      <c r="F39" s="159">
        <f>SUM(F40:F43)</f>
        <v>0</v>
      </c>
      <c r="G39" s="159">
        <f t="shared" ref="G39:I39" si="4">SUM(G40:G43)</f>
        <v>0</v>
      </c>
      <c r="H39" s="159">
        <f t="shared" si="4"/>
        <v>0</v>
      </c>
      <c r="I39" s="159">
        <f t="shared" si="4"/>
        <v>0</v>
      </c>
    </row>
    <row r="40" spans="1:10" ht="93.75">
      <c r="A40" s="257" t="s">
        <v>516</v>
      </c>
      <c r="B40" s="141" t="s">
        <v>452</v>
      </c>
      <c r="C40" s="188">
        <v>693</v>
      </c>
      <c r="D40" s="159"/>
      <c r="E40" s="159"/>
      <c r="F40" s="159"/>
      <c r="G40" s="159"/>
      <c r="H40" s="159"/>
      <c r="I40" s="159"/>
      <c r="J40" s="1">
        <v>9</v>
      </c>
    </row>
    <row r="41" spans="1:10" ht="75.75" customHeight="1">
      <c r="A41" s="231" t="s">
        <v>451</v>
      </c>
      <c r="B41" s="141" t="s">
        <v>453</v>
      </c>
      <c r="C41" s="188">
        <v>1510</v>
      </c>
      <c r="D41" s="159"/>
      <c r="E41" s="159"/>
      <c r="F41" s="159"/>
      <c r="G41" s="159"/>
      <c r="H41" s="159"/>
      <c r="I41" s="159"/>
      <c r="J41" s="1">
        <v>10</v>
      </c>
    </row>
    <row r="42" spans="1:10" ht="112.5">
      <c r="A42" s="231" t="s">
        <v>455</v>
      </c>
      <c r="B42" s="141" t="s">
        <v>454</v>
      </c>
      <c r="C42" s="188">
        <v>3700</v>
      </c>
      <c r="D42" s="159"/>
      <c r="E42" s="159"/>
      <c r="F42" s="159"/>
      <c r="G42" s="159"/>
      <c r="H42" s="159"/>
      <c r="I42" s="159"/>
      <c r="J42" s="1">
        <v>11</v>
      </c>
    </row>
    <row r="43" spans="1:10" ht="112.5">
      <c r="A43" s="257" t="s">
        <v>472</v>
      </c>
      <c r="B43" s="141" t="s">
        <v>456</v>
      </c>
      <c r="C43" s="188">
        <v>4010</v>
      </c>
      <c r="D43" s="159"/>
      <c r="E43" s="159"/>
      <c r="F43" s="159"/>
      <c r="G43" s="159"/>
      <c r="H43" s="159"/>
      <c r="I43" s="159"/>
      <c r="J43" s="1">
        <v>13</v>
      </c>
    </row>
    <row r="44" spans="1:10" ht="20.100000000000001" customHeight="1">
      <c r="A44" s="231" t="s">
        <v>56</v>
      </c>
      <c r="B44" s="141">
        <v>3300</v>
      </c>
      <c r="C44" s="188"/>
      <c r="D44" s="159"/>
      <c r="E44" s="159"/>
      <c r="F44" s="159"/>
      <c r="G44" s="159"/>
      <c r="H44" s="159"/>
      <c r="I44" s="159"/>
    </row>
    <row r="45" spans="1:10" ht="20.100000000000001" customHeight="1">
      <c r="A45" s="231" t="s">
        <v>126</v>
      </c>
      <c r="B45" s="141">
        <v>3310</v>
      </c>
      <c r="C45" s="188">
        <f>SUM(C46:C49)</f>
        <v>12</v>
      </c>
      <c r="D45" s="159">
        <f t="shared" ref="D45:I45" si="5">SUM(D47:D49)</f>
        <v>5000</v>
      </c>
      <c r="E45" s="159">
        <f t="shared" si="5"/>
        <v>7898</v>
      </c>
      <c r="F45" s="159">
        <f t="shared" si="5"/>
        <v>0</v>
      </c>
      <c r="G45" s="159">
        <f t="shared" si="5"/>
        <v>0</v>
      </c>
      <c r="H45" s="159">
        <f t="shared" si="5"/>
        <v>0</v>
      </c>
      <c r="I45" s="159">
        <f t="shared" si="5"/>
        <v>0</v>
      </c>
    </row>
    <row r="46" spans="1:10" ht="20.100000000000001" customHeight="1">
      <c r="A46" s="267" t="s">
        <v>541</v>
      </c>
      <c r="B46" s="141" t="s">
        <v>458</v>
      </c>
      <c r="C46" s="280">
        <v>12</v>
      </c>
      <c r="D46" s="268"/>
      <c r="E46" s="268"/>
      <c r="F46" s="268"/>
      <c r="G46" s="268"/>
      <c r="H46" s="268"/>
      <c r="I46" s="268"/>
    </row>
    <row r="47" spans="1:10" ht="53.25" customHeight="1">
      <c r="A47" s="231" t="s">
        <v>459</v>
      </c>
      <c r="B47" s="141" t="s">
        <v>471</v>
      </c>
      <c r="C47" s="188"/>
      <c r="D47" s="159">
        <v>5000</v>
      </c>
      <c r="E47" s="159">
        <v>7410</v>
      </c>
      <c r="F47" s="159"/>
      <c r="G47" s="159"/>
      <c r="H47" s="159"/>
      <c r="I47" s="159"/>
    </row>
    <row r="48" spans="1:10" ht="53.25" customHeight="1">
      <c r="A48" s="231" t="s">
        <v>457</v>
      </c>
      <c r="B48" s="141" t="s">
        <v>480</v>
      </c>
      <c r="C48" s="282"/>
      <c r="D48" s="209"/>
      <c r="E48" s="209">
        <v>479</v>
      </c>
      <c r="F48" s="209"/>
      <c r="G48" s="209"/>
      <c r="H48" s="209"/>
      <c r="I48" s="209"/>
    </row>
    <row r="49" spans="1:9" ht="53.25" customHeight="1">
      <c r="A49" s="231" t="s">
        <v>481</v>
      </c>
      <c r="B49" s="141" t="s">
        <v>530</v>
      </c>
      <c r="C49" s="282"/>
      <c r="D49" s="209"/>
      <c r="E49" s="209">
        <v>9</v>
      </c>
      <c r="F49" s="209"/>
      <c r="G49" s="209"/>
      <c r="H49" s="209"/>
      <c r="I49" s="209"/>
    </row>
    <row r="50" spans="1:9" ht="37.5">
      <c r="A50" s="157" t="s">
        <v>174</v>
      </c>
      <c r="B50" s="183">
        <v>3320</v>
      </c>
      <c r="C50" s="284">
        <f t="shared" ref="C50:I50" si="6">(C25+C26+C27+C29+C30+C31+C32)-(C34+C38+C39+C44+C45)</f>
        <v>-32848</v>
      </c>
      <c r="D50" s="255">
        <f t="shared" si="6"/>
        <v>-45384</v>
      </c>
      <c r="E50" s="255">
        <f t="shared" si="6"/>
        <v>-39616</v>
      </c>
      <c r="F50" s="255">
        <f t="shared" si="6"/>
        <v>0</v>
      </c>
      <c r="G50" s="255">
        <f t="shared" si="6"/>
        <v>0</v>
      </c>
      <c r="H50" s="255">
        <f t="shared" si="6"/>
        <v>0</v>
      </c>
      <c r="I50" s="255">
        <f t="shared" si="6"/>
        <v>0</v>
      </c>
    </row>
    <row r="51" spans="1:9" ht="20.100000000000001" customHeight="1">
      <c r="A51" s="411" t="s">
        <v>175</v>
      </c>
      <c r="B51" s="412"/>
      <c r="C51" s="412"/>
      <c r="D51" s="412"/>
      <c r="E51" s="412"/>
      <c r="F51" s="412"/>
      <c r="G51" s="412"/>
      <c r="H51" s="412"/>
      <c r="I51" s="413"/>
    </row>
    <row r="52" spans="1:9" ht="20.100000000000001" customHeight="1">
      <c r="A52" s="157" t="s">
        <v>287</v>
      </c>
      <c r="B52" s="141"/>
      <c r="C52" s="188"/>
      <c r="D52" s="159"/>
      <c r="E52" s="159"/>
      <c r="F52" s="159"/>
      <c r="G52" s="159"/>
      <c r="H52" s="159"/>
      <c r="I52" s="159"/>
    </row>
    <row r="53" spans="1:9" ht="20.100000000000001" customHeight="1">
      <c r="A53" s="155" t="s">
        <v>181</v>
      </c>
      <c r="B53" s="141">
        <v>3400</v>
      </c>
      <c r="C53" s="188"/>
      <c r="D53" s="159"/>
      <c r="E53" s="159"/>
      <c r="F53" s="159"/>
      <c r="G53" s="159"/>
      <c r="H53" s="159"/>
      <c r="I53" s="159"/>
    </row>
    <row r="54" spans="1:9" ht="37.5">
      <c r="A54" s="231" t="s">
        <v>99</v>
      </c>
      <c r="B54" s="125"/>
      <c r="C54" s="188"/>
      <c r="D54" s="159"/>
      <c r="E54" s="159"/>
      <c r="F54" s="159"/>
      <c r="G54" s="159"/>
      <c r="H54" s="159"/>
      <c r="I54" s="159"/>
    </row>
    <row r="55" spans="1:9" ht="20.100000000000001" customHeight="1">
      <c r="A55" s="231" t="s">
        <v>98</v>
      </c>
      <c r="B55" s="141">
        <v>3410</v>
      </c>
      <c r="C55" s="188"/>
      <c r="D55" s="159"/>
      <c r="E55" s="159"/>
      <c r="F55" s="159"/>
      <c r="G55" s="159"/>
      <c r="H55" s="159"/>
      <c r="I55" s="159"/>
    </row>
    <row r="56" spans="1:9" ht="20.100000000000001" customHeight="1">
      <c r="A56" s="231" t="s">
        <v>103</v>
      </c>
      <c r="B56" s="233">
        <v>3420</v>
      </c>
      <c r="C56" s="188"/>
      <c r="D56" s="159"/>
      <c r="E56" s="159"/>
      <c r="F56" s="159"/>
      <c r="G56" s="159"/>
      <c r="H56" s="159"/>
      <c r="I56" s="159"/>
    </row>
    <row r="57" spans="1:9" ht="20.100000000000001" customHeight="1">
      <c r="A57" s="231" t="s">
        <v>135</v>
      </c>
      <c r="B57" s="141">
        <v>3430</v>
      </c>
      <c r="C57" s="188"/>
      <c r="D57" s="159"/>
      <c r="E57" s="159"/>
      <c r="F57" s="159"/>
      <c r="G57" s="159"/>
      <c r="H57" s="159"/>
      <c r="I57" s="159"/>
    </row>
    <row r="58" spans="1:9" ht="37.5">
      <c r="A58" s="231" t="s">
        <v>101</v>
      </c>
      <c r="B58" s="141"/>
      <c r="C58" s="188"/>
      <c r="D58" s="159"/>
      <c r="E58" s="159"/>
      <c r="F58" s="159"/>
      <c r="G58" s="159"/>
      <c r="H58" s="159"/>
      <c r="I58" s="159"/>
    </row>
    <row r="59" spans="1:9" ht="20.100000000000001" customHeight="1">
      <c r="A59" s="231" t="s">
        <v>98</v>
      </c>
      <c r="B59" s="233">
        <v>3440</v>
      </c>
      <c r="C59" s="188"/>
      <c r="D59" s="159"/>
      <c r="E59" s="159"/>
      <c r="F59" s="159"/>
      <c r="G59" s="159"/>
      <c r="H59" s="159"/>
      <c r="I59" s="159"/>
    </row>
    <row r="60" spans="1:9" ht="20.100000000000001" customHeight="1">
      <c r="A60" s="231" t="s">
        <v>103</v>
      </c>
      <c r="B60" s="233">
        <v>3450</v>
      </c>
      <c r="C60" s="188"/>
      <c r="D60" s="159"/>
      <c r="E60" s="159"/>
      <c r="F60" s="159"/>
      <c r="G60" s="159"/>
      <c r="H60" s="159"/>
      <c r="I60" s="159"/>
    </row>
    <row r="61" spans="1:9" ht="20.100000000000001" customHeight="1">
      <c r="A61" s="231" t="s">
        <v>135</v>
      </c>
      <c r="B61" s="233">
        <v>3460</v>
      </c>
      <c r="C61" s="188"/>
      <c r="D61" s="159"/>
      <c r="E61" s="159"/>
      <c r="F61" s="159"/>
      <c r="G61" s="159"/>
      <c r="H61" s="159"/>
      <c r="I61" s="159"/>
    </row>
    <row r="62" spans="1:9" ht="20.100000000000001" customHeight="1">
      <c r="A62" s="231" t="s">
        <v>130</v>
      </c>
      <c r="B62" s="233">
        <v>3470</v>
      </c>
      <c r="C62" s="188"/>
      <c r="D62" s="159"/>
      <c r="E62" s="159"/>
      <c r="F62" s="159"/>
      <c r="G62" s="159"/>
      <c r="H62" s="159"/>
      <c r="I62" s="159"/>
    </row>
    <row r="63" spans="1:9" ht="38.25" customHeight="1">
      <c r="A63" s="231" t="s">
        <v>420</v>
      </c>
      <c r="B63" s="233" t="s">
        <v>421</v>
      </c>
      <c r="C63" s="188"/>
      <c r="D63" s="159"/>
      <c r="E63" s="159"/>
      <c r="F63" s="159"/>
      <c r="G63" s="159"/>
      <c r="H63" s="159"/>
      <c r="I63" s="159"/>
    </row>
    <row r="64" spans="1:9" ht="20.100000000000001" customHeight="1">
      <c r="A64" s="231" t="s">
        <v>131</v>
      </c>
      <c r="B64" s="233">
        <v>3480</v>
      </c>
      <c r="C64" s="188">
        <f>C65</f>
        <v>7500</v>
      </c>
      <c r="D64" s="159">
        <f>D65</f>
        <v>46484</v>
      </c>
      <c r="E64" s="159">
        <f>E65</f>
        <v>46484</v>
      </c>
      <c r="F64" s="159">
        <f>F65</f>
        <v>12318</v>
      </c>
      <c r="G64" s="159">
        <f>G65</f>
        <v>14212</v>
      </c>
      <c r="H64" s="159">
        <f t="shared" ref="H64:I64" si="7">H65</f>
        <v>16105</v>
      </c>
      <c r="I64" s="159">
        <f t="shared" si="7"/>
        <v>18000</v>
      </c>
    </row>
    <row r="65" spans="1:9" ht="37.5">
      <c r="A65" s="231" t="s">
        <v>401</v>
      </c>
      <c r="B65" s="233" t="s">
        <v>400</v>
      </c>
      <c r="C65" s="188">
        <v>7500</v>
      </c>
      <c r="D65" s="159">
        <v>46484</v>
      </c>
      <c r="E65" s="159">
        <v>46484</v>
      </c>
      <c r="F65" s="159">
        <v>12318</v>
      </c>
      <c r="G65" s="159">
        <v>14212</v>
      </c>
      <c r="H65" s="159">
        <v>16105</v>
      </c>
      <c r="I65" s="159">
        <v>18000</v>
      </c>
    </row>
    <row r="66" spans="1:9" ht="20.100000000000001" customHeight="1">
      <c r="A66" s="157" t="s">
        <v>288</v>
      </c>
      <c r="B66" s="141"/>
      <c r="C66" s="188"/>
      <c r="D66" s="159"/>
      <c r="E66" s="159"/>
      <c r="F66" s="159"/>
      <c r="G66" s="159"/>
      <c r="H66" s="159"/>
      <c r="I66" s="159"/>
    </row>
    <row r="67" spans="1:9" ht="37.5">
      <c r="A67" s="231" t="s">
        <v>374</v>
      </c>
      <c r="B67" s="141">
        <v>3490</v>
      </c>
      <c r="C67" s="283">
        <f>'ІІ. Розр. з бюджетом'!C9</f>
        <v>0</v>
      </c>
      <c r="D67" s="160">
        <f>'ІІ. Розр. з бюджетом'!D9</f>
        <v>0</v>
      </c>
      <c r="E67" s="160">
        <f>'ІІ. Розр. з бюджетом'!E9</f>
        <v>0</v>
      </c>
      <c r="F67" s="160">
        <f>'ІІ. Розр. з бюджетом'!F9</f>
        <v>0</v>
      </c>
      <c r="G67" s="160">
        <f>'ІІ. Розр. з бюджетом'!G9</f>
        <v>0</v>
      </c>
      <c r="H67" s="160">
        <f>'ІІ. Розр. з бюджетом'!H9</f>
        <v>0</v>
      </c>
      <c r="I67" s="160">
        <f>'ІІ. Розр. з бюджетом'!I9</f>
        <v>0</v>
      </c>
    </row>
    <row r="68" spans="1:9" ht="112.5">
      <c r="A68" s="231" t="s">
        <v>375</v>
      </c>
      <c r="B68" s="141">
        <v>3500</v>
      </c>
      <c r="C68" s="283">
        <f>'ІІ. Розр. з бюджетом'!C10</f>
        <v>0</v>
      </c>
      <c r="D68" s="160">
        <f>'ІІ. Розр. з бюджетом'!D10</f>
        <v>0</v>
      </c>
      <c r="E68" s="160">
        <f>'ІІ. Розр. з бюджетом'!E10</f>
        <v>0</v>
      </c>
      <c r="F68" s="160">
        <f>'ІІ. Розр. з бюджетом'!F10</f>
        <v>0</v>
      </c>
      <c r="G68" s="160">
        <f>'ІІ. Розр. з бюджетом'!G10</f>
        <v>0</v>
      </c>
      <c r="H68" s="160">
        <f>'ІІ. Розр. з бюджетом'!H10</f>
        <v>0</v>
      </c>
      <c r="I68" s="160">
        <f>'ІІ. Розр. з бюджетом'!I10</f>
        <v>0</v>
      </c>
    </row>
    <row r="69" spans="1:9" ht="37.5">
      <c r="A69" s="231" t="s">
        <v>102</v>
      </c>
      <c r="B69" s="141"/>
      <c r="C69" s="188"/>
      <c r="D69" s="159"/>
      <c r="E69" s="159"/>
      <c r="F69" s="159"/>
      <c r="G69" s="159"/>
      <c r="H69" s="159"/>
      <c r="I69" s="159"/>
    </row>
    <row r="70" spans="1:9" ht="20.100000000000001" customHeight="1">
      <c r="A70" s="231" t="s">
        <v>98</v>
      </c>
      <c r="B70" s="233">
        <v>3510</v>
      </c>
      <c r="C70" s="188"/>
      <c r="D70" s="159"/>
      <c r="E70" s="159"/>
      <c r="F70" s="159"/>
      <c r="G70" s="159"/>
      <c r="H70" s="159"/>
      <c r="I70" s="159"/>
    </row>
    <row r="71" spans="1:9" ht="20.100000000000001" customHeight="1">
      <c r="A71" s="231" t="s">
        <v>103</v>
      </c>
      <c r="B71" s="233">
        <v>3520</v>
      </c>
      <c r="C71" s="188"/>
      <c r="D71" s="159"/>
      <c r="E71" s="159"/>
      <c r="F71" s="159"/>
      <c r="G71" s="159"/>
      <c r="H71" s="159"/>
      <c r="I71" s="159"/>
    </row>
    <row r="72" spans="1:9" ht="20.100000000000001" customHeight="1">
      <c r="A72" s="231" t="s">
        <v>135</v>
      </c>
      <c r="B72" s="233">
        <v>3530</v>
      </c>
      <c r="C72" s="188"/>
      <c r="D72" s="159"/>
      <c r="E72" s="159"/>
      <c r="F72" s="159"/>
      <c r="G72" s="159"/>
      <c r="H72" s="159"/>
      <c r="I72" s="159"/>
    </row>
    <row r="73" spans="1:9" ht="37.5">
      <c r="A73" s="231" t="s">
        <v>100</v>
      </c>
      <c r="B73" s="141"/>
      <c r="C73" s="188"/>
      <c r="D73" s="159"/>
      <c r="E73" s="159"/>
      <c r="F73" s="159"/>
      <c r="G73" s="159"/>
      <c r="H73" s="159"/>
      <c r="I73" s="159"/>
    </row>
    <row r="74" spans="1:9" ht="20.100000000000001" customHeight="1">
      <c r="A74" s="231" t="s">
        <v>98</v>
      </c>
      <c r="B74" s="233">
        <v>3540</v>
      </c>
      <c r="C74" s="188"/>
      <c r="D74" s="159"/>
      <c r="E74" s="159"/>
      <c r="F74" s="159"/>
      <c r="G74" s="159"/>
      <c r="H74" s="159"/>
      <c r="I74" s="159"/>
    </row>
    <row r="75" spans="1:9" ht="20.100000000000001" customHeight="1">
      <c r="A75" s="231" t="s">
        <v>103</v>
      </c>
      <c r="B75" s="233">
        <v>3550</v>
      </c>
      <c r="C75" s="188"/>
      <c r="D75" s="159"/>
      <c r="E75" s="159"/>
      <c r="F75" s="159"/>
      <c r="G75" s="159"/>
      <c r="H75" s="159"/>
      <c r="I75" s="159"/>
    </row>
    <row r="76" spans="1:9" ht="20.100000000000001" customHeight="1">
      <c r="A76" s="231" t="s">
        <v>135</v>
      </c>
      <c r="B76" s="233">
        <v>3560</v>
      </c>
      <c r="C76" s="188"/>
      <c r="D76" s="159"/>
      <c r="E76" s="159"/>
      <c r="F76" s="159"/>
      <c r="G76" s="159"/>
      <c r="H76" s="159"/>
      <c r="I76" s="159"/>
    </row>
    <row r="77" spans="1:9" ht="20.100000000000001" customHeight="1">
      <c r="A77" s="231" t="s">
        <v>126</v>
      </c>
      <c r="B77" s="233">
        <v>3570</v>
      </c>
      <c r="C77" s="188"/>
      <c r="D77" s="159"/>
      <c r="E77" s="159"/>
      <c r="F77" s="159"/>
      <c r="G77" s="159"/>
      <c r="H77" s="159"/>
      <c r="I77" s="159"/>
    </row>
    <row r="78" spans="1:9" ht="37.5">
      <c r="A78" s="52" t="s">
        <v>176</v>
      </c>
      <c r="B78" s="85">
        <v>3580</v>
      </c>
      <c r="C78" s="284">
        <f t="shared" ref="C78:I78" si="8">(C53+C55+C56+C57+C59+C60+C61+C62+C64)-(C67+C68+C70+C71+C72+C74+C75+C76+C77)</f>
        <v>7500</v>
      </c>
      <c r="D78" s="255">
        <f t="shared" si="8"/>
        <v>46484</v>
      </c>
      <c r="E78" s="255">
        <f>(E53+E55+E56+E57+E59+E60+E61+E62+E64)-(E67+E68+E70+E71+E72+E74+E75+E76+E77)</f>
        <v>46484</v>
      </c>
      <c r="F78" s="255">
        <f t="shared" si="8"/>
        <v>12318</v>
      </c>
      <c r="G78" s="255">
        <f t="shared" si="8"/>
        <v>14212</v>
      </c>
      <c r="H78" s="255">
        <f t="shared" si="8"/>
        <v>16105</v>
      </c>
      <c r="I78" s="255">
        <f t="shared" si="8"/>
        <v>18000</v>
      </c>
    </row>
    <row r="79" spans="1:9" s="12" customFormat="1" ht="20.100000000000001" customHeight="1">
      <c r="A79" s="8" t="s">
        <v>34</v>
      </c>
      <c r="B79" s="227"/>
      <c r="C79" s="283"/>
      <c r="D79" s="160"/>
      <c r="E79" s="160"/>
      <c r="F79" s="160"/>
      <c r="G79" s="160"/>
      <c r="H79" s="160"/>
      <c r="I79" s="160"/>
    </row>
    <row r="80" spans="1:9" s="12" customFormat="1" ht="20.100000000000001" customHeight="1">
      <c r="A80" s="9" t="s">
        <v>35</v>
      </c>
      <c r="B80" s="227">
        <v>3600</v>
      </c>
      <c r="C80" s="188">
        <v>32000</v>
      </c>
      <c r="D80" s="159">
        <v>2918</v>
      </c>
      <c r="E80" s="160">
        <v>3388</v>
      </c>
      <c r="F80" s="160">
        <f>E82</f>
        <v>563</v>
      </c>
      <c r="G80" s="160">
        <f>E82</f>
        <v>563</v>
      </c>
      <c r="H80" s="160">
        <f>E82</f>
        <v>563</v>
      </c>
      <c r="I80" s="160">
        <f>E82</f>
        <v>563</v>
      </c>
    </row>
    <row r="81" spans="1:9" s="12" customFormat="1" ht="37.5">
      <c r="A81" s="231" t="s">
        <v>185</v>
      </c>
      <c r="B81" s="227">
        <v>3610</v>
      </c>
      <c r="C81" s="188"/>
      <c r="D81" s="159"/>
      <c r="E81" s="159"/>
      <c r="F81" s="159"/>
      <c r="G81" s="159"/>
      <c r="H81" s="159"/>
      <c r="I81" s="159"/>
    </row>
    <row r="82" spans="1:9" s="12" customFormat="1" ht="20.100000000000001" customHeight="1">
      <c r="A82" s="9" t="s">
        <v>57</v>
      </c>
      <c r="B82" s="227">
        <v>3620</v>
      </c>
      <c r="C82" s="284">
        <f>C80+C22+C50+C78</f>
        <v>3388</v>
      </c>
      <c r="D82" s="255">
        <f>D80+D22+D50+D78</f>
        <v>18</v>
      </c>
      <c r="E82" s="255">
        <f>E80+E22+E50+E78</f>
        <v>563</v>
      </c>
      <c r="F82" s="255">
        <f>F80+F65+F50+F22</f>
        <v>8715</v>
      </c>
      <c r="G82" s="284">
        <f>G80+G65+G50+G22</f>
        <v>5936</v>
      </c>
      <c r="H82" s="255">
        <f>H80+H65+H50+H22</f>
        <v>2972</v>
      </c>
      <c r="I82" s="284">
        <f>I80+I65+I50+I22</f>
        <v>3</v>
      </c>
    </row>
    <row r="83" spans="1:9" s="12" customFormat="1" ht="20.100000000000001" customHeight="1">
      <c r="A83" s="9" t="s">
        <v>36</v>
      </c>
      <c r="B83" s="227">
        <v>3630</v>
      </c>
      <c r="C83" s="255">
        <f t="shared" ref="C83:D83" si="9">SUM(C22,C50,C78)</f>
        <v>-28612</v>
      </c>
      <c r="D83" s="255">
        <f t="shared" si="9"/>
        <v>-2900</v>
      </c>
      <c r="E83" s="255">
        <f>SUM(E22,E50,E78)</f>
        <v>-2825</v>
      </c>
      <c r="F83" s="255">
        <f t="shared" ref="F83:I83" si="10">SUM(F22,F50,F78)</f>
        <v>8152</v>
      </c>
      <c r="G83" s="255">
        <f t="shared" si="10"/>
        <v>5373</v>
      </c>
      <c r="H83" s="255">
        <f t="shared" si="10"/>
        <v>2409</v>
      </c>
      <c r="I83" s="255">
        <f t="shared" si="10"/>
        <v>-560</v>
      </c>
    </row>
    <row r="84" spans="1:9" s="12" customFormat="1" ht="20.100000000000001" customHeight="1">
      <c r="A84" s="125"/>
      <c r="B84" s="131"/>
      <c r="C84" s="291"/>
      <c r="D84" s="132"/>
      <c r="E84" s="132"/>
      <c r="F84" s="132"/>
      <c r="G84" s="132"/>
      <c r="H84" s="132"/>
      <c r="I84" s="132"/>
    </row>
    <row r="85" spans="1:9" s="12" customFormat="1" ht="20.100000000000001" customHeight="1">
      <c r="A85" s="125"/>
      <c r="B85" s="131"/>
      <c r="C85" s="291"/>
      <c r="D85" s="132"/>
      <c r="E85" s="132"/>
      <c r="F85" s="132"/>
      <c r="G85" s="132"/>
      <c r="H85" s="132"/>
      <c r="I85" s="132"/>
    </row>
    <row r="86" spans="1:9" s="12" customFormat="1" ht="20.100000000000001" customHeight="1">
      <c r="A86" s="125"/>
      <c r="B86" s="131"/>
      <c r="C86" s="291"/>
      <c r="D86" s="132"/>
      <c r="E86" s="132"/>
      <c r="F86" s="132"/>
      <c r="G86" s="132"/>
      <c r="H86" s="132"/>
      <c r="I86" s="132"/>
    </row>
    <row r="87" spans="1:9" s="229" customFormat="1">
      <c r="A87" s="117" t="s">
        <v>492</v>
      </c>
      <c r="B87" s="118"/>
      <c r="C87" s="375" t="s">
        <v>416</v>
      </c>
      <c r="D87" s="376"/>
      <c r="E87" s="376"/>
      <c r="F87" s="119"/>
      <c r="G87" s="415" t="s">
        <v>439</v>
      </c>
      <c r="H87" s="415"/>
      <c r="I87" s="415"/>
    </row>
    <row r="88" spans="1:9" ht="20.100000000000001" customHeight="1">
      <c r="A88" s="224" t="s">
        <v>385</v>
      </c>
      <c r="B88" s="222"/>
      <c r="C88" s="377" t="s">
        <v>83</v>
      </c>
      <c r="D88" s="377"/>
      <c r="E88" s="377"/>
      <c r="F88" s="225"/>
      <c r="G88" s="378" t="s">
        <v>114</v>
      </c>
      <c r="H88" s="378"/>
      <c r="I88" s="378"/>
    </row>
    <row r="89" spans="1:9">
      <c r="C89" s="292"/>
    </row>
    <row r="90" spans="1:9">
      <c r="C90" s="292"/>
    </row>
    <row r="91" spans="1:9">
      <c r="C91" s="292"/>
    </row>
    <row r="92" spans="1:9">
      <c r="C92" s="292"/>
    </row>
    <row r="93" spans="1:9">
      <c r="C93" s="292"/>
    </row>
    <row r="94" spans="1:9">
      <c r="C94" s="292"/>
    </row>
    <row r="95" spans="1:9">
      <c r="C95" s="292"/>
    </row>
    <row r="96" spans="1:9">
      <c r="C96" s="292"/>
    </row>
    <row r="97" spans="3:3">
      <c r="C97" s="292"/>
    </row>
    <row r="98" spans="3:3">
      <c r="C98" s="292"/>
    </row>
    <row r="99" spans="3:3">
      <c r="C99" s="292"/>
    </row>
    <row r="100" spans="3:3">
      <c r="C100" s="292"/>
    </row>
    <row r="101" spans="3:3">
      <c r="C101" s="292"/>
    </row>
    <row r="102" spans="3:3">
      <c r="C102" s="292"/>
    </row>
    <row r="103" spans="3:3">
      <c r="C103" s="292"/>
    </row>
    <row r="104" spans="3:3">
      <c r="C104" s="292"/>
    </row>
    <row r="105" spans="3:3">
      <c r="C105" s="292"/>
    </row>
    <row r="106" spans="3:3">
      <c r="C106" s="292"/>
    </row>
    <row r="107" spans="3:3">
      <c r="C107" s="292"/>
    </row>
    <row r="108" spans="3:3">
      <c r="C108" s="292"/>
    </row>
    <row r="109" spans="3:3">
      <c r="C109" s="292"/>
    </row>
    <row r="110" spans="3:3">
      <c r="C110" s="292"/>
    </row>
    <row r="111" spans="3:3">
      <c r="C111" s="292"/>
    </row>
    <row r="112" spans="3:3">
      <c r="C112" s="292"/>
    </row>
    <row r="113" spans="3:3">
      <c r="C113" s="292"/>
    </row>
    <row r="114" spans="3:3">
      <c r="C114" s="292"/>
    </row>
    <row r="115" spans="3:3">
      <c r="C115" s="292"/>
    </row>
    <row r="116" spans="3:3">
      <c r="C116" s="292"/>
    </row>
    <row r="117" spans="3:3">
      <c r="C117" s="292"/>
    </row>
  </sheetData>
  <sheetProtection password="C6FB" sheet="1" objects="1" scenarios="1" formatCells="0" formatColumns="0" formatRows="0" insertRows="0"/>
  <mergeCells count="14">
    <mergeCell ref="C87:E87"/>
    <mergeCell ref="G87:I87"/>
    <mergeCell ref="C88:E88"/>
    <mergeCell ref="G88:I88"/>
    <mergeCell ref="A23:I23"/>
    <mergeCell ref="A6:I6"/>
    <mergeCell ref="A51:I51"/>
    <mergeCell ref="A1:I1"/>
    <mergeCell ref="A3:A4"/>
    <mergeCell ref="B3:B4"/>
    <mergeCell ref="C3:C4"/>
    <mergeCell ref="D3:D4"/>
    <mergeCell ref="E3:E4"/>
    <mergeCell ref="F3:I3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63" orientation="portrait" horizontalDpi="4294967293" r:id="rId1"/>
  <headerFooter alignWithMargins="0"/>
  <rowBreaks count="2" manualBreakCount="2">
    <brk id="38" max="8" man="1"/>
    <brk id="6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P182"/>
  <sheetViews>
    <sheetView view="pageBreakPreview" zoomScale="80" zoomScaleNormal="75" zoomScaleSheetLayoutView="80" workbookViewId="0">
      <selection activeCell="F11" sqref="F10:I11"/>
    </sheetView>
  </sheetViews>
  <sheetFormatPr defaultRowHeight="18.75"/>
  <cols>
    <col min="1" max="1" width="45" style="2" customWidth="1"/>
    <col min="2" max="2" width="11.7109375" style="22" customWidth="1"/>
    <col min="3" max="4" width="16" style="22" customWidth="1"/>
    <col min="5" max="5" width="15.28515625" style="22" customWidth="1"/>
    <col min="6" max="7" width="16.28515625" style="2" customWidth="1"/>
    <col min="8" max="8" width="15.85546875" style="2" customWidth="1"/>
    <col min="9" max="9" width="15.28515625" style="2" customWidth="1"/>
    <col min="10" max="10" width="9.5703125" style="2" customWidth="1"/>
    <col min="11" max="11" width="9.85546875" style="2" customWidth="1"/>
    <col min="12" max="16384" width="9.140625" style="2"/>
  </cols>
  <sheetData>
    <row r="1" spans="1:16">
      <c r="A1" s="379" t="s">
        <v>230</v>
      </c>
      <c r="B1" s="379"/>
      <c r="C1" s="379"/>
      <c r="D1" s="379"/>
      <c r="E1" s="379"/>
      <c r="F1" s="379"/>
      <c r="G1" s="379"/>
      <c r="H1" s="379"/>
      <c r="I1" s="379"/>
    </row>
    <row r="2" spans="1:16">
      <c r="A2" s="424"/>
      <c r="B2" s="424"/>
      <c r="C2" s="424"/>
      <c r="D2" s="424"/>
      <c r="E2" s="424"/>
      <c r="F2" s="424"/>
      <c r="G2" s="424"/>
      <c r="H2" s="424"/>
      <c r="I2" s="424"/>
    </row>
    <row r="3" spans="1:16" ht="43.5" customHeight="1">
      <c r="A3" s="417" t="s">
        <v>271</v>
      </c>
      <c r="B3" s="420" t="s">
        <v>18</v>
      </c>
      <c r="C3" s="420" t="s">
        <v>31</v>
      </c>
      <c r="D3" s="420" t="s">
        <v>39</v>
      </c>
      <c r="E3" s="419" t="s">
        <v>182</v>
      </c>
      <c r="F3" s="420" t="s">
        <v>368</v>
      </c>
      <c r="G3" s="420"/>
      <c r="H3" s="420"/>
      <c r="I3" s="420"/>
    </row>
    <row r="4" spans="1:16" ht="56.25" customHeight="1">
      <c r="A4" s="417"/>
      <c r="B4" s="420"/>
      <c r="C4" s="420"/>
      <c r="D4" s="420"/>
      <c r="E4" s="419"/>
      <c r="F4" s="11" t="s">
        <v>377</v>
      </c>
      <c r="G4" s="11" t="s">
        <v>370</v>
      </c>
      <c r="H4" s="11" t="s">
        <v>371</v>
      </c>
      <c r="I4" s="11" t="s">
        <v>85</v>
      </c>
    </row>
    <row r="5" spans="1:16" ht="18" customHeight="1">
      <c r="A5" s="6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</row>
    <row r="6" spans="1:16" s="259" customFormat="1" ht="42.75" customHeight="1">
      <c r="A6" s="8" t="s">
        <v>87</v>
      </c>
      <c r="B6" s="69">
        <v>4000</v>
      </c>
      <c r="C6" s="283">
        <f t="shared" ref="C6:I6" si="0">SUM(C7:C11)</f>
        <v>32848</v>
      </c>
      <c r="D6" s="160">
        <f t="shared" si="0"/>
        <v>45384</v>
      </c>
      <c r="E6" s="160">
        <f t="shared" si="0"/>
        <v>39616</v>
      </c>
      <c r="F6" s="160">
        <f t="shared" si="0"/>
        <v>0</v>
      </c>
      <c r="G6" s="160">
        <f t="shared" si="0"/>
        <v>0</v>
      </c>
      <c r="H6" s="160">
        <f t="shared" si="0"/>
        <v>0</v>
      </c>
      <c r="I6" s="160">
        <f t="shared" si="0"/>
        <v>0</v>
      </c>
    </row>
    <row r="7" spans="1:16" ht="20.100000000000001" customHeight="1">
      <c r="A7" s="8" t="s">
        <v>1</v>
      </c>
      <c r="B7" s="70" t="s">
        <v>239</v>
      </c>
      <c r="C7" s="188"/>
      <c r="D7" s="159"/>
      <c r="E7" s="159"/>
      <c r="F7" s="159"/>
      <c r="G7" s="159"/>
      <c r="H7" s="159"/>
      <c r="I7" s="159"/>
    </row>
    <row r="8" spans="1:16" ht="37.5">
      <c r="A8" s="8" t="s">
        <v>2</v>
      </c>
      <c r="B8" s="69">
        <v>4020</v>
      </c>
      <c r="C8" s="188">
        <v>22923</v>
      </c>
      <c r="D8" s="188">
        <v>40384</v>
      </c>
      <c r="E8" s="188">
        <f>'ІІІ. Рух грош. коштів'!E34</f>
        <v>31718</v>
      </c>
      <c r="F8" s="188"/>
      <c r="G8" s="188"/>
      <c r="H8" s="188"/>
      <c r="I8" s="188"/>
      <c r="P8" s="18"/>
    </row>
    <row r="9" spans="1:16" ht="37.5">
      <c r="A9" s="8" t="s">
        <v>30</v>
      </c>
      <c r="B9" s="70">
        <v>4030</v>
      </c>
      <c r="C9" s="188">
        <v>12</v>
      </c>
      <c r="D9" s="188"/>
      <c r="E9" s="188">
        <v>7419</v>
      </c>
      <c r="F9" s="188"/>
      <c r="G9" s="188"/>
      <c r="H9" s="188"/>
      <c r="I9" s="188"/>
      <c r="O9" s="18"/>
    </row>
    <row r="10" spans="1:16" ht="37.5">
      <c r="A10" s="8" t="s">
        <v>3</v>
      </c>
      <c r="B10" s="69">
        <v>4040</v>
      </c>
      <c r="C10" s="188">
        <v>9913</v>
      </c>
      <c r="D10" s="188"/>
      <c r="E10" s="188">
        <f>'ІІІ. Рух грош. коштів'!E39</f>
        <v>0</v>
      </c>
      <c r="F10" s="188"/>
      <c r="G10" s="188"/>
      <c r="H10" s="188"/>
      <c r="I10" s="188"/>
    </row>
    <row r="11" spans="1:16" ht="56.25">
      <c r="A11" s="8" t="s">
        <v>73</v>
      </c>
      <c r="B11" s="70">
        <v>4050</v>
      </c>
      <c r="C11" s="188"/>
      <c r="D11" s="188">
        <v>5000</v>
      </c>
      <c r="E11" s="188">
        <v>479</v>
      </c>
      <c r="F11" s="188"/>
      <c r="G11" s="188"/>
      <c r="H11" s="188"/>
      <c r="I11" s="188"/>
    </row>
    <row r="12" spans="1:16" ht="20.100000000000001" customHeight="1">
      <c r="A12" s="98"/>
      <c r="B12" s="98"/>
      <c r="C12" s="98"/>
      <c r="D12" s="98"/>
      <c r="E12" s="98"/>
      <c r="F12" s="133"/>
      <c r="G12" s="133"/>
      <c r="H12" s="133"/>
      <c r="I12" s="133"/>
    </row>
    <row r="13" spans="1:16" ht="20.100000000000001" customHeight="1">
      <c r="A13" s="98"/>
      <c r="B13" s="98"/>
      <c r="C13" s="98"/>
      <c r="D13" s="98"/>
      <c r="E13" s="133"/>
      <c r="F13" s="133"/>
      <c r="G13" s="133"/>
      <c r="H13" s="133"/>
      <c r="I13" s="133"/>
    </row>
    <row r="14" spans="1:16" s="1" customFormat="1">
      <c r="A14" s="111"/>
      <c r="B14" s="125"/>
      <c r="C14" s="98"/>
      <c r="D14" s="98"/>
      <c r="E14" s="98"/>
      <c r="F14" s="98"/>
      <c r="G14" s="98"/>
      <c r="H14" s="98"/>
      <c r="I14" s="98"/>
      <c r="J14" s="2"/>
    </row>
    <row r="15" spans="1:16">
      <c r="A15" s="117" t="s">
        <v>484</v>
      </c>
      <c r="B15" s="118"/>
      <c r="C15" s="375" t="s">
        <v>118</v>
      </c>
      <c r="D15" s="376"/>
      <c r="E15" s="376"/>
      <c r="F15" s="119"/>
      <c r="G15" s="415" t="s">
        <v>438</v>
      </c>
      <c r="H15" s="415"/>
      <c r="I15" s="415"/>
    </row>
    <row r="16" spans="1:16" s="1" customFormat="1" ht="20.100000000000001" customHeight="1">
      <c r="A16" s="99" t="s">
        <v>82</v>
      </c>
      <c r="B16" s="98"/>
      <c r="C16" s="377" t="s">
        <v>83</v>
      </c>
      <c r="D16" s="377"/>
      <c r="E16" s="377"/>
      <c r="F16" s="120"/>
      <c r="G16" s="378" t="s">
        <v>114</v>
      </c>
      <c r="H16" s="378"/>
      <c r="I16" s="378"/>
    </row>
    <row r="17" spans="1:9">
      <c r="A17" s="134"/>
      <c r="B17" s="99"/>
      <c r="C17" s="99"/>
      <c r="D17" s="99"/>
      <c r="E17" s="99"/>
      <c r="F17" s="98"/>
      <c r="G17" s="98"/>
      <c r="H17" s="98"/>
      <c r="I17" s="98"/>
    </row>
    <row r="18" spans="1:9">
      <c r="A18" s="134"/>
      <c r="B18" s="99"/>
      <c r="C18" s="99"/>
      <c r="D18" s="99"/>
      <c r="E18" s="99"/>
      <c r="F18" s="98"/>
      <c r="G18" s="98"/>
      <c r="H18" s="98"/>
      <c r="I18" s="98"/>
    </row>
    <row r="19" spans="1:9">
      <c r="A19" s="45"/>
    </row>
    <row r="20" spans="1:9">
      <c r="A20" s="45"/>
    </row>
    <row r="21" spans="1:9">
      <c r="A21" s="45"/>
    </row>
    <row r="22" spans="1:9">
      <c r="A22" s="45"/>
    </row>
    <row r="23" spans="1:9">
      <c r="A23" s="45"/>
    </row>
    <row r="24" spans="1:9">
      <c r="A24" s="45"/>
    </row>
    <row r="25" spans="1:9">
      <c r="A25" s="45"/>
    </row>
    <row r="26" spans="1:9">
      <c r="A26" s="45"/>
    </row>
    <row r="27" spans="1:9">
      <c r="A27" s="45"/>
    </row>
    <row r="28" spans="1:9">
      <c r="A28" s="45"/>
    </row>
    <row r="29" spans="1:9">
      <c r="A29" s="45"/>
    </row>
    <row r="30" spans="1:9">
      <c r="A30" s="45"/>
    </row>
    <row r="31" spans="1:9">
      <c r="A31" s="45"/>
    </row>
    <row r="32" spans="1:9">
      <c r="A32" s="45"/>
    </row>
    <row r="33" spans="1:1">
      <c r="A33" s="45"/>
    </row>
    <row r="34" spans="1:1">
      <c r="A34" s="45"/>
    </row>
    <row r="35" spans="1:1">
      <c r="A35" s="45"/>
    </row>
    <row r="36" spans="1:1">
      <c r="A36" s="45"/>
    </row>
    <row r="37" spans="1:1">
      <c r="A37" s="45"/>
    </row>
    <row r="38" spans="1:1">
      <c r="A38" s="45"/>
    </row>
    <row r="39" spans="1:1">
      <c r="A39" s="45"/>
    </row>
    <row r="40" spans="1:1">
      <c r="A40" s="45"/>
    </row>
    <row r="41" spans="1:1">
      <c r="A41" s="45"/>
    </row>
    <row r="42" spans="1:1">
      <c r="A42" s="45"/>
    </row>
    <row r="43" spans="1:1">
      <c r="A43" s="45"/>
    </row>
    <row r="44" spans="1:1">
      <c r="A44" s="45"/>
    </row>
    <row r="45" spans="1:1">
      <c r="A45" s="45"/>
    </row>
    <row r="46" spans="1:1">
      <c r="A46" s="45"/>
    </row>
    <row r="47" spans="1:1">
      <c r="A47" s="45"/>
    </row>
    <row r="48" spans="1:1">
      <c r="A48" s="45"/>
    </row>
    <row r="49" spans="1:1">
      <c r="A49" s="45"/>
    </row>
    <row r="50" spans="1:1">
      <c r="A50" s="45"/>
    </row>
    <row r="51" spans="1:1">
      <c r="A51" s="45"/>
    </row>
    <row r="52" spans="1:1">
      <c r="A52" s="45"/>
    </row>
    <row r="53" spans="1:1">
      <c r="A53" s="45"/>
    </row>
    <row r="54" spans="1:1">
      <c r="A54" s="45"/>
    </row>
    <row r="55" spans="1:1">
      <c r="A55" s="45"/>
    </row>
    <row r="56" spans="1:1">
      <c r="A56" s="45"/>
    </row>
    <row r="57" spans="1:1">
      <c r="A57" s="45"/>
    </row>
    <row r="58" spans="1:1">
      <c r="A58" s="45"/>
    </row>
    <row r="59" spans="1:1">
      <c r="A59" s="45"/>
    </row>
    <row r="60" spans="1:1">
      <c r="A60" s="45"/>
    </row>
    <row r="61" spans="1:1">
      <c r="A61" s="45"/>
    </row>
    <row r="62" spans="1:1">
      <c r="A62" s="45"/>
    </row>
    <row r="63" spans="1:1">
      <c r="A63" s="45"/>
    </row>
    <row r="64" spans="1:1">
      <c r="A64" s="45"/>
    </row>
    <row r="65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spans="1:1">
      <c r="A71" s="45"/>
    </row>
    <row r="72" spans="1:1">
      <c r="A72" s="45"/>
    </row>
    <row r="73" spans="1:1">
      <c r="A73" s="45"/>
    </row>
    <row r="74" spans="1:1">
      <c r="A74" s="45"/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spans="1:1">
      <c r="A96" s="45"/>
    </row>
    <row r="97" spans="1:1">
      <c r="A97" s="45"/>
    </row>
    <row r="98" spans="1:1">
      <c r="A98" s="45"/>
    </row>
    <row r="99" spans="1:1">
      <c r="A99" s="45"/>
    </row>
    <row r="100" spans="1:1">
      <c r="A100" s="45"/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</sheetData>
  <sheetProtection password="C6FB" sheet="1" formatCells="0" formatColumns="0" formatRows="0"/>
  <mergeCells count="12">
    <mergeCell ref="C15:E15"/>
    <mergeCell ref="G15:I15"/>
    <mergeCell ref="C16:E16"/>
    <mergeCell ref="G16:I16"/>
    <mergeCell ref="A3:A4"/>
    <mergeCell ref="A1:I1"/>
    <mergeCell ref="B3:B4"/>
    <mergeCell ref="C3:C4"/>
    <mergeCell ref="D3:D4"/>
    <mergeCell ref="A2:I2"/>
    <mergeCell ref="F3:I3"/>
    <mergeCell ref="E3:E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0" firstPageNumber="9" orientation="portrait" useFirstPageNumber="1" horizontalDpi="4294967293" r:id="rId1"/>
  <headerFooter alignWithMargins="0"/>
  <ignoredErrors>
    <ignoredError sqref="B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31"/>
  <sheetViews>
    <sheetView view="pageBreakPreview" zoomScale="75" zoomScaleNormal="75" zoomScaleSheetLayoutView="75" workbookViewId="0">
      <pane ySplit="5" topLeftCell="A6" activePane="bottomLeft" state="frozen"/>
      <selection pane="bottomLeft" activeCell="G8" sqref="D7:G8"/>
    </sheetView>
  </sheetViews>
  <sheetFormatPr defaultRowHeight="12.75"/>
  <cols>
    <col min="1" max="1" width="61" style="29" customWidth="1"/>
    <col min="2" max="2" width="13.85546875" style="29" customWidth="1"/>
    <col min="3" max="3" width="17.42578125" style="29" customWidth="1"/>
    <col min="4" max="4" width="18.28515625" style="29" customWidth="1"/>
    <col min="5" max="5" width="19.7109375" style="29" customWidth="1"/>
    <col min="6" max="6" width="18.5703125" style="29" customWidth="1"/>
    <col min="7" max="7" width="18.85546875" style="29" customWidth="1"/>
    <col min="8" max="8" width="37.42578125" style="29" customWidth="1"/>
    <col min="9" max="9" width="9.5703125" style="29" customWidth="1"/>
    <col min="10" max="16384" width="9.140625" style="29"/>
  </cols>
  <sheetData>
    <row r="1" spans="1:8" ht="25.5" customHeight="1">
      <c r="A1" s="428" t="s">
        <v>232</v>
      </c>
      <c r="B1" s="428"/>
      <c r="C1" s="428"/>
      <c r="D1" s="428"/>
      <c r="E1" s="428"/>
      <c r="F1" s="428"/>
      <c r="G1" s="428"/>
      <c r="H1" s="428"/>
    </row>
    <row r="2" spans="1:8" ht="16.5" customHeight="1"/>
    <row r="3" spans="1:8" ht="45" customHeight="1">
      <c r="A3" s="429" t="s">
        <v>271</v>
      </c>
      <c r="B3" s="429" t="s">
        <v>0</v>
      </c>
      <c r="C3" s="429" t="s">
        <v>109</v>
      </c>
      <c r="D3" s="429" t="s">
        <v>31</v>
      </c>
      <c r="E3" s="429" t="s">
        <v>110</v>
      </c>
      <c r="F3" s="431" t="s">
        <v>182</v>
      </c>
      <c r="G3" s="429" t="s">
        <v>111</v>
      </c>
      <c r="H3" s="429" t="s">
        <v>112</v>
      </c>
    </row>
    <row r="4" spans="1:8" ht="52.5" customHeight="1">
      <c r="A4" s="430"/>
      <c r="B4" s="430"/>
      <c r="C4" s="430"/>
      <c r="D4" s="430"/>
      <c r="E4" s="430"/>
      <c r="F4" s="432"/>
      <c r="G4" s="430"/>
      <c r="H4" s="430"/>
    </row>
    <row r="5" spans="1:8" s="57" customFormat="1" ht="18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</row>
    <row r="6" spans="1:8" s="57" customFormat="1" ht="20.100000000000001" customHeight="1">
      <c r="A6" s="71" t="s">
        <v>204</v>
      </c>
      <c r="B6" s="56"/>
      <c r="C6" s="37"/>
      <c r="D6" s="37"/>
      <c r="E6" s="37"/>
      <c r="F6" s="37"/>
      <c r="G6" s="37"/>
      <c r="H6" s="37"/>
    </row>
    <row r="7" spans="1:8" ht="75">
      <c r="A7" s="8" t="s">
        <v>353</v>
      </c>
      <c r="B7" s="239">
        <v>5000</v>
      </c>
      <c r="C7" s="73" t="s">
        <v>340</v>
      </c>
      <c r="D7" s="344" t="e">
        <f>'Осн. фін. пок.'!C13*100/'Осн. фін. пок.'!C11</f>
        <v>#DIV/0!</v>
      </c>
      <c r="E7" s="347">
        <v>0</v>
      </c>
      <c r="F7" s="344" t="e">
        <f>'Осн. фін. пок.'!F13*100/'Осн. фін. пок.'!F11</f>
        <v>#DIV/0!</v>
      </c>
      <c r="G7" s="344" t="e">
        <f>'Осн. фін. пок.'!E13*100/'Осн. фін. пок.'!E11</f>
        <v>#DIV/0!</v>
      </c>
      <c r="H7" s="81"/>
    </row>
    <row r="8" spans="1:8" ht="63.95" customHeight="1">
      <c r="A8" s="8" t="s">
        <v>354</v>
      </c>
      <c r="B8" s="239">
        <v>5010</v>
      </c>
      <c r="C8" s="73" t="s">
        <v>340</v>
      </c>
      <c r="D8" s="344" t="e">
        <f>'Осн. фін. пок.'!C18*100/'Осн. фін. пок.'!C11</f>
        <v>#DIV/0!</v>
      </c>
      <c r="E8" s="347">
        <v>0</v>
      </c>
      <c r="F8" s="344" t="e">
        <f>'Осн. фін. пок.'!F18*100/'Осн. фін. пок.'!F11</f>
        <v>#DIV/0!</v>
      </c>
      <c r="G8" s="344" t="e">
        <f>'Осн. фін. пок.'!E18*100/'Осн. фін. пок.'!E11</f>
        <v>#DIV/0!</v>
      </c>
      <c r="H8" s="81"/>
    </row>
    <row r="9" spans="1:8" ht="56.25">
      <c r="A9" s="83" t="s">
        <v>360</v>
      </c>
      <c r="B9" s="239">
        <v>5020</v>
      </c>
      <c r="C9" s="73" t="s">
        <v>340</v>
      </c>
      <c r="D9" s="162">
        <f>'Осн. фін. пок.'!C24/'Осн. фін. пок.'!C50</f>
        <v>-9.0741098270678763E-2</v>
      </c>
      <c r="E9" s="345">
        <f>'[36]фінплан - зведені показники'!E44/'[36]фінплан - зведені показники'!E70</f>
        <v>-0.19569614946916553</v>
      </c>
      <c r="F9" s="162">
        <f>'Осн. фін. пок.'!F24/'Осн. фін. пок.'!F50</f>
        <v>-0.19569570290554458</v>
      </c>
      <c r="G9" s="162">
        <f>'Осн. фін. пок.'!E24/'Осн. фін. пок.'!E50</f>
        <v>-0.34449664946468461</v>
      </c>
      <c r="H9" s="81" t="s">
        <v>341</v>
      </c>
    </row>
    <row r="10" spans="1:8" ht="56.25">
      <c r="A10" s="83" t="s">
        <v>361</v>
      </c>
      <c r="B10" s="239">
        <v>5030</v>
      </c>
      <c r="C10" s="73" t="s">
        <v>340</v>
      </c>
      <c r="D10" s="162">
        <f>'Осн. фін. пок.'!C24/'Осн. фін. пок.'!C56</f>
        <v>-9.0861388052694086E-2</v>
      </c>
      <c r="E10" s="345">
        <f>'[36]фінплан - зведені показники'!E44/'[36]фінплан - зведені показники'!E76</f>
        <v>-0.19658535561826207</v>
      </c>
      <c r="F10" s="162">
        <f>'Осн. фін. пок.'!F24/'Осн. фін. пок.'!F56</f>
        <v>-0.19658490702554085</v>
      </c>
      <c r="G10" s="162">
        <f>'Осн. фін. пок.'!E24/'Осн. фін. пок.'!E56</f>
        <v>-0.34541719440239721</v>
      </c>
      <c r="H10" s="81"/>
    </row>
    <row r="11" spans="1:8" ht="75">
      <c r="A11" s="83" t="s">
        <v>362</v>
      </c>
      <c r="B11" s="239">
        <v>5040</v>
      </c>
      <c r="C11" s="73" t="s">
        <v>113</v>
      </c>
      <c r="D11" s="344" t="e">
        <f>'Осн. фін. пок.'!C24/'Осн. фін. пок.'!C11</f>
        <v>#DIV/0!</v>
      </c>
      <c r="E11" s="347">
        <v>0</v>
      </c>
      <c r="F11" s="344" t="e">
        <f>'Осн. фін. пок.'!F24/'Осн. фін. пок.'!F11</f>
        <v>#DIV/0!</v>
      </c>
      <c r="G11" s="344" t="e">
        <f>'Осн. фін. пок.'!E24/'Осн. фін. пок.'!E11</f>
        <v>#DIV/0!</v>
      </c>
      <c r="H11" s="81" t="s">
        <v>342</v>
      </c>
    </row>
    <row r="12" spans="1:8" ht="20.100000000000001" customHeight="1">
      <c r="A12" s="71" t="s">
        <v>206</v>
      </c>
      <c r="B12" s="239"/>
      <c r="C12" s="74"/>
      <c r="D12" s="82"/>
      <c r="E12" s="135"/>
      <c r="F12" s="82"/>
      <c r="G12" s="82"/>
      <c r="H12" s="81"/>
    </row>
    <row r="13" spans="1:8" ht="63.95" customHeight="1">
      <c r="A13" s="72" t="s">
        <v>310</v>
      </c>
      <c r="B13" s="239">
        <v>5100</v>
      </c>
      <c r="C13" s="73"/>
      <c r="D13" s="162">
        <f>('Осн. фін. пок.'!C51+'Осн. фін. пок.'!C52)/'Осн. фін. пок.'!C18</f>
        <v>-1.6382252559726963E-2</v>
      </c>
      <c r="E13" s="345">
        <f>'[36]фінплан - зведені показники'!E73/'[36]фінплан - зведені показники'!E38</f>
        <v>-3.0633608385413718E-2</v>
      </c>
      <c r="F13" s="162">
        <f>('Осн. фін. пок.'!F51+'Осн. фін. пок.'!F52)/'Осн. фін. пок.'!F18</f>
        <v>-3.0634146341463414E-2</v>
      </c>
      <c r="G13" s="162">
        <f>('Осн. фін. пок.'!E51+'Осн. фін. пок.'!E52)/'Осн. фін. пок.'!E18</f>
        <v>-9.321120689655172E-3</v>
      </c>
      <c r="H13" s="81"/>
    </row>
    <row r="14" spans="1:8" s="57" customFormat="1" ht="75">
      <c r="A14" s="72" t="s">
        <v>311</v>
      </c>
      <c r="B14" s="239">
        <v>5110</v>
      </c>
      <c r="C14" s="73" t="s">
        <v>191</v>
      </c>
      <c r="D14" s="162">
        <f>'Осн. фін. пок.'!C56/('Осн. фін. пок.'!C51+'Осн. фін. пок.'!C52)</f>
        <v>754.35416666666663</v>
      </c>
      <c r="E14" s="347" t="e">
        <f>'[36]фінплан - зведені показники'!E76/'[36]фінплан - зведені показники'!E71</f>
        <v>#DIV/0!</v>
      </c>
      <c r="F14" s="162">
        <f>'Осн. фін. пок.'!F56/('Осн. фін. пок.'!F51+'Осн. фін. пок.'!F52)</f>
        <v>220.0796178343949</v>
      </c>
      <c r="G14" s="162">
        <f>'Осн. фін. пок.'!E56/('Осн. фін. пок.'!E51+'Осн. фін. пок.'!E52)</f>
        <v>374.23121387283237</v>
      </c>
      <c r="H14" s="81" t="s">
        <v>343</v>
      </c>
    </row>
    <row r="15" spans="1:8" s="57" customFormat="1" ht="112.5">
      <c r="A15" s="72" t="s">
        <v>312</v>
      </c>
      <c r="B15" s="239">
        <v>5120</v>
      </c>
      <c r="C15" s="73" t="s">
        <v>191</v>
      </c>
      <c r="D15" s="162">
        <f>'Осн. фін. пок.'!C48/'Осн. фін. пок.'!C52</f>
        <v>71.145833333333329</v>
      </c>
      <c r="E15" s="345">
        <v>0</v>
      </c>
      <c r="F15" s="162">
        <f>'Осн. фін. пок.'!F48/'Осн. фін. пок.'!F52</f>
        <v>2.2802547770700636</v>
      </c>
      <c r="G15" s="162">
        <f>'Осн. фін. пок.'!E48/'Осн. фін. пок.'!E52</f>
        <v>0.11560693641618497</v>
      </c>
      <c r="H15" s="81" t="s">
        <v>345</v>
      </c>
    </row>
    <row r="16" spans="1:8" ht="20.100000000000001" customHeight="1">
      <c r="A16" s="71" t="s">
        <v>205</v>
      </c>
      <c r="B16" s="239"/>
      <c r="C16" s="73"/>
      <c r="D16" s="162"/>
      <c r="E16" s="161"/>
      <c r="F16" s="162"/>
      <c r="G16" s="162"/>
      <c r="H16" s="81"/>
    </row>
    <row r="17" spans="1:10" ht="56.25">
      <c r="A17" s="72" t="s">
        <v>313</v>
      </c>
      <c r="B17" s="239">
        <v>5200</v>
      </c>
      <c r="C17" s="73"/>
      <c r="D17" s="344" t="e">
        <f>'Осн. фін. пок.'!C41/'I. Фін результат'!C93</f>
        <v>#DIV/0!</v>
      </c>
      <c r="E17" s="347">
        <v>0</v>
      </c>
      <c r="F17" s="344" t="e">
        <f>'Осн. фін. пок.'!F41/'I. Фін результат'!E93</f>
        <v>#DIV/0!</v>
      </c>
      <c r="G17" s="344" t="e">
        <f>'Осн. фін. пок.'!E41/'I. Фін результат'!I93</f>
        <v>#DIV/0!</v>
      </c>
      <c r="H17" s="81"/>
    </row>
    <row r="18" spans="1:10" ht="75">
      <c r="A18" s="72" t="s">
        <v>314</v>
      </c>
      <c r="B18" s="239">
        <v>5210</v>
      </c>
      <c r="C18" s="73"/>
      <c r="D18" s="344" t="e">
        <f>'Осн. фін. пок.'!C41/'Осн. фін. пок.'!C11</f>
        <v>#DIV/0!</v>
      </c>
      <c r="E18" s="347">
        <v>0</v>
      </c>
      <c r="F18" s="344" t="e">
        <f>'Осн. фін. пок.'!F41/'Осн. фін. пок.'!F11</f>
        <v>#DIV/0!</v>
      </c>
      <c r="G18" s="344" t="e">
        <f>'Осн. фін. пок.'!E41/'Осн. фін. пок.'!E11</f>
        <v>#DIV/0!</v>
      </c>
      <c r="H18" s="81"/>
    </row>
    <row r="19" spans="1:10" ht="63.95" customHeight="1">
      <c r="A19" s="72" t="s">
        <v>355</v>
      </c>
      <c r="B19" s="239">
        <v>5220</v>
      </c>
      <c r="C19" s="73" t="s">
        <v>340</v>
      </c>
      <c r="D19" s="345">
        <v>0.3</v>
      </c>
      <c r="E19" s="345">
        <v>0.3</v>
      </c>
      <c r="F19" s="346">
        <v>0.14000000000000001</v>
      </c>
      <c r="G19" s="346">
        <v>0.14000000000000001</v>
      </c>
      <c r="H19" s="81" t="s">
        <v>344</v>
      </c>
    </row>
    <row r="20" spans="1:10" ht="20.100000000000001" customHeight="1">
      <c r="A20" s="56" t="s">
        <v>289</v>
      </c>
      <c r="B20" s="239"/>
      <c r="C20" s="73"/>
      <c r="D20" s="162"/>
      <c r="E20" s="161"/>
      <c r="F20" s="162"/>
      <c r="G20" s="162"/>
      <c r="H20" s="81"/>
    </row>
    <row r="21" spans="1:10" ht="112.5">
      <c r="A21" s="83" t="s">
        <v>356</v>
      </c>
      <c r="B21" s="239">
        <v>5300</v>
      </c>
      <c r="C21" s="73"/>
      <c r="D21" s="161"/>
      <c r="E21" s="161"/>
      <c r="F21" s="161"/>
      <c r="G21" s="161"/>
      <c r="H21" s="136"/>
    </row>
    <row r="22" spans="1:10" ht="20.100000000000001" customHeight="1">
      <c r="A22" s="137"/>
      <c r="B22" s="137"/>
      <c r="C22" s="137"/>
      <c r="D22" s="137"/>
      <c r="E22" s="137"/>
      <c r="F22" s="137"/>
      <c r="G22" s="137"/>
      <c r="H22" s="137"/>
    </row>
    <row r="23" spans="1:10" ht="20.100000000000001" customHeight="1">
      <c r="A23" s="137"/>
      <c r="B23" s="137"/>
      <c r="C23" s="137"/>
      <c r="D23" s="137"/>
      <c r="E23" s="137"/>
      <c r="F23" s="137"/>
      <c r="G23" s="137"/>
      <c r="H23" s="137"/>
    </row>
    <row r="24" spans="1:10" ht="20.100000000000001" customHeight="1">
      <c r="A24" s="137"/>
      <c r="B24" s="137"/>
      <c r="C24" s="137"/>
      <c r="D24" s="137"/>
      <c r="E24" s="137"/>
      <c r="F24" s="137"/>
      <c r="G24" s="137"/>
      <c r="H24" s="137"/>
    </row>
    <row r="25" spans="1:10" s="241" customFormat="1" ht="37.5" customHeight="1">
      <c r="A25" s="191" t="s">
        <v>485</v>
      </c>
      <c r="B25" s="117"/>
      <c r="C25" s="118"/>
      <c r="D25" s="427"/>
      <c r="E25" s="427"/>
      <c r="F25" s="190"/>
      <c r="G25" s="426" t="s">
        <v>437</v>
      </c>
      <c r="H25" s="426"/>
      <c r="I25" s="240"/>
      <c r="J25" s="240"/>
    </row>
    <row r="26" spans="1:10" s="1" customFormat="1" ht="20.100000000000001" customHeight="1">
      <c r="A26" s="237" t="s">
        <v>417</v>
      </c>
      <c r="B26" s="242"/>
      <c r="C26" s="240"/>
      <c r="D26" s="425" t="s">
        <v>83</v>
      </c>
      <c r="E26" s="425"/>
      <c r="F26" s="240"/>
      <c r="G26" s="378" t="s">
        <v>418</v>
      </c>
      <c r="H26" s="378"/>
      <c r="I26" s="54"/>
      <c r="J26" s="54"/>
    </row>
    <row r="27" spans="1:10">
      <c r="A27" s="137"/>
      <c r="B27" s="137"/>
      <c r="C27" s="137"/>
      <c r="D27" s="137"/>
      <c r="E27" s="137"/>
      <c r="F27" s="137"/>
      <c r="G27" s="137"/>
      <c r="H27" s="137"/>
    </row>
    <row r="28" spans="1:10">
      <c r="A28" s="137"/>
      <c r="B28" s="137"/>
      <c r="C28" s="137"/>
      <c r="D28" s="137"/>
      <c r="E28" s="137"/>
      <c r="F28" s="137"/>
      <c r="G28" s="137"/>
      <c r="H28" s="137"/>
    </row>
    <row r="29" spans="1:10">
      <c r="A29" s="137"/>
      <c r="B29" s="137"/>
      <c r="C29" s="137"/>
      <c r="D29" s="137"/>
      <c r="E29" s="137"/>
      <c r="F29" s="137"/>
      <c r="G29" s="137"/>
      <c r="H29" s="137"/>
    </row>
    <row r="30" spans="1:10">
      <c r="A30" s="137"/>
      <c r="B30" s="137"/>
      <c r="C30" s="137"/>
      <c r="D30" s="137"/>
      <c r="E30" s="137"/>
      <c r="F30" s="137"/>
      <c r="G30" s="137"/>
      <c r="H30" s="137"/>
    </row>
    <row r="31" spans="1:10">
      <c r="A31" s="137"/>
      <c r="B31" s="137"/>
      <c r="C31" s="137"/>
      <c r="D31" s="137"/>
      <c r="E31" s="137"/>
      <c r="F31" s="137"/>
      <c r="G31" s="137"/>
      <c r="H31" s="137"/>
    </row>
  </sheetData>
  <sheetProtection formatCells="0" formatColumns="0" formatRows="0"/>
  <mergeCells count="13">
    <mergeCell ref="D26:E26"/>
    <mergeCell ref="G25:H25"/>
    <mergeCell ref="G26:H26"/>
    <mergeCell ref="D25:E25"/>
    <mergeCell ref="A1:H1"/>
    <mergeCell ref="H3:H4"/>
    <mergeCell ref="A3:A4"/>
    <mergeCell ref="B3:B4"/>
    <mergeCell ref="C3:C4"/>
    <mergeCell ref="D3:D4"/>
    <mergeCell ref="E3:E4"/>
    <mergeCell ref="F3:F4"/>
    <mergeCell ref="G3:G4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4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95"/>
  <sheetViews>
    <sheetView topLeftCell="A7" zoomScale="85" zoomScaleNormal="85" zoomScaleSheetLayoutView="75" workbookViewId="0">
      <selection activeCell="J14" sqref="J14:K14"/>
    </sheetView>
  </sheetViews>
  <sheetFormatPr defaultRowHeight="18.75"/>
  <cols>
    <col min="1" max="1" width="44.85546875" style="1" customWidth="1"/>
    <col min="2" max="2" width="13.5703125" style="17" customWidth="1"/>
    <col min="3" max="3" width="12.7109375" style="1" customWidth="1"/>
    <col min="4" max="4" width="16.140625" style="1" customWidth="1"/>
    <col min="5" max="5" width="15.42578125" style="1" customWidth="1"/>
    <col min="6" max="6" width="16.5703125" style="1" customWidth="1"/>
    <col min="7" max="7" width="15.28515625" style="1" customWidth="1"/>
    <col min="8" max="8" width="16.5703125" style="1" customWidth="1"/>
    <col min="9" max="9" width="16.140625" style="1" customWidth="1"/>
    <col min="10" max="10" width="16.42578125" style="1" customWidth="1"/>
    <col min="11" max="11" width="16.5703125" style="1" customWidth="1"/>
    <col min="12" max="12" width="16.85546875" style="1" customWidth="1"/>
    <col min="13" max="15" width="16.7109375" style="1" customWidth="1"/>
    <col min="16" max="16384" width="9.140625" style="1"/>
  </cols>
  <sheetData>
    <row r="1" spans="1:15">
      <c r="A1" s="485" t="s">
        <v>136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</row>
    <row r="2" spans="1:15">
      <c r="A2" s="485" t="s">
        <v>528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</row>
    <row r="3" spans="1:15">
      <c r="A3" s="486" t="s">
        <v>440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</row>
    <row r="4" spans="1:15" ht="20.100000000000001" customHeight="1">
      <c r="A4" s="487" t="s">
        <v>147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</row>
    <row r="5" spans="1:15" ht="21.95" customHeight="1">
      <c r="A5" s="488" t="s">
        <v>97</v>
      </c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</row>
    <row r="6" spans="1:15" ht="10.5" customHeight="1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16.5" customHeight="1">
      <c r="A7" s="489" t="s">
        <v>346</v>
      </c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489"/>
    </row>
    <row r="8" spans="1:15" ht="10.5" customHeight="1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 s="241" customFormat="1" ht="40.5" customHeight="1">
      <c r="A9" s="395" t="s">
        <v>271</v>
      </c>
      <c r="B9" s="395"/>
      <c r="C9" s="395"/>
      <c r="D9" s="396" t="s">
        <v>149</v>
      </c>
      <c r="E9" s="396"/>
      <c r="F9" s="396" t="s">
        <v>31</v>
      </c>
      <c r="G9" s="396"/>
      <c r="H9" s="396" t="s">
        <v>69</v>
      </c>
      <c r="I9" s="396"/>
      <c r="J9" s="396" t="s">
        <v>150</v>
      </c>
      <c r="K9" s="396"/>
      <c r="L9" s="396" t="s">
        <v>292</v>
      </c>
      <c r="M9" s="396"/>
      <c r="N9" s="396" t="s">
        <v>293</v>
      </c>
      <c r="O9" s="396"/>
    </row>
    <row r="10" spans="1:15" s="241" customFormat="1" ht="18" customHeight="1">
      <c r="A10" s="395">
        <v>1</v>
      </c>
      <c r="B10" s="395"/>
      <c r="C10" s="395"/>
      <c r="D10" s="396">
        <v>2</v>
      </c>
      <c r="E10" s="396"/>
      <c r="F10" s="396">
        <v>3</v>
      </c>
      <c r="G10" s="396"/>
      <c r="H10" s="396">
        <v>4</v>
      </c>
      <c r="I10" s="396"/>
      <c r="J10" s="396">
        <v>5</v>
      </c>
      <c r="K10" s="396"/>
      <c r="L10" s="396">
        <v>6</v>
      </c>
      <c r="M10" s="396"/>
      <c r="N10" s="396">
        <v>7</v>
      </c>
      <c r="O10" s="396"/>
    </row>
    <row r="11" spans="1:15" s="241" customFormat="1" ht="20.100000000000001" customHeight="1">
      <c r="A11" s="372" t="s">
        <v>148</v>
      </c>
      <c r="B11" s="373"/>
      <c r="C11" s="373"/>
      <c r="D11" s="373"/>
      <c r="E11" s="373"/>
      <c r="F11" s="373"/>
      <c r="G11" s="373"/>
      <c r="H11" s="373"/>
      <c r="I11" s="373"/>
      <c r="J11" s="373"/>
      <c r="K11" s="374"/>
      <c r="L11" s="438"/>
      <c r="M11" s="439"/>
      <c r="N11" s="438"/>
      <c r="O11" s="439"/>
    </row>
    <row r="12" spans="1:15" s="241" customFormat="1" ht="20.100000000000001" customHeight="1">
      <c r="A12" s="449" t="s">
        <v>315</v>
      </c>
      <c r="B12" s="449"/>
      <c r="C12" s="449"/>
      <c r="D12" s="450">
        <v>4</v>
      </c>
      <c r="E12" s="451"/>
      <c r="F12" s="452">
        <v>3</v>
      </c>
      <c r="G12" s="452"/>
      <c r="H12" s="452">
        <v>4</v>
      </c>
      <c r="I12" s="452"/>
      <c r="J12" s="452">
        <v>4</v>
      </c>
      <c r="K12" s="452"/>
      <c r="L12" s="442">
        <f>J12/H12*100%</f>
        <v>1</v>
      </c>
      <c r="M12" s="443"/>
      <c r="N12" s="442">
        <f>J12/F12</f>
        <v>1.3333333333333333</v>
      </c>
      <c r="O12" s="443"/>
    </row>
    <row r="13" spans="1:15" s="241" customFormat="1" ht="20.100000000000001" customHeight="1">
      <c r="A13" s="449" t="s">
        <v>316</v>
      </c>
      <c r="B13" s="449"/>
      <c r="C13" s="449"/>
      <c r="D13" s="450">
        <v>8</v>
      </c>
      <c r="E13" s="451"/>
      <c r="F13" s="452">
        <v>3</v>
      </c>
      <c r="G13" s="452"/>
      <c r="H13" s="452">
        <v>8</v>
      </c>
      <c r="I13" s="452"/>
      <c r="J13" s="452">
        <v>28</v>
      </c>
      <c r="K13" s="452"/>
      <c r="L13" s="442">
        <f t="shared" ref="L13:L33" si="0">J13/H13*100%</f>
        <v>3.5</v>
      </c>
      <c r="M13" s="443"/>
      <c r="N13" s="442">
        <f t="shared" ref="N13:N32" si="1">J13/F13</f>
        <v>9.3333333333333339</v>
      </c>
      <c r="O13" s="443"/>
    </row>
    <row r="14" spans="1:15" s="241" customFormat="1" ht="20.100000000000001" customHeight="1">
      <c r="A14" s="449" t="s">
        <v>317</v>
      </c>
      <c r="B14" s="449"/>
      <c r="C14" s="449"/>
      <c r="D14" s="450">
        <v>4</v>
      </c>
      <c r="E14" s="451"/>
      <c r="F14" s="452">
        <v>3</v>
      </c>
      <c r="G14" s="452"/>
      <c r="H14" s="452">
        <v>4</v>
      </c>
      <c r="I14" s="452"/>
      <c r="J14" s="452">
        <v>4</v>
      </c>
      <c r="K14" s="452"/>
      <c r="L14" s="442">
        <f t="shared" ref="L14" si="2">J14/H14*100%</f>
        <v>1</v>
      </c>
      <c r="M14" s="443"/>
      <c r="N14" s="442">
        <f t="shared" si="1"/>
        <v>1.3333333333333333</v>
      </c>
      <c r="O14" s="443"/>
    </row>
    <row r="15" spans="1:15" s="241" customFormat="1" ht="20.100000000000001" customHeight="1">
      <c r="A15" s="449" t="s">
        <v>318</v>
      </c>
      <c r="B15" s="449"/>
      <c r="C15" s="449"/>
      <c r="D15" s="450"/>
      <c r="E15" s="451"/>
      <c r="F15" s="452"/>
      <c r="G15" s="452"/>
      <c r="H15" s="452"/>
      <c r="I15" s="452"/>
      <c r="J15" s="452"/>
      <c r="K15" s="452"/>
      <c r="L15" s="442"/>
      <c r="M15" s="443"/>
      <c r="N15" s="442"/>
      <c r="O15" s="443"/>
    </row>
    <row r="16" spans="1:15" s="241" customFormat="1" ht="20.100000000000001" customHeight="1">
      <c r="A16" s="449" t="s">
        <v>319</v>
      </c>
      <c r="B16" s="449"/>
      <c r="C16" s="449"/>
      <c r="D16" s="450"/>
      <c r="E16" s="451"/>
      <c r="F16" s="452"/>
      <c r="G16" s="452"/>
      <c r="H16" s="452"/>
      <c r="I16" s="452"/>
      <c r="J16" s="452"/>
      <c r="K16" s="452"/>
      <c r="L16" s="436" t="e">
        <f t="shared" si="0"/>
        <v>#DIV/0!</v>
      </c>
      <c r="M16" s="437"/>
      <c r="N16" s="442"/>
      <c r="O16" s="443"/>
    </row>
    <row r="17" spans="1:15" s="241" customFormat="1" ht="20.100000000000001" customHeight="1">
      <c r="A17" s="449" t="s">
        <v>320</v>
      </c>
      <c r="B17" s="449"/>
      <c r="C17" s="449"/>
      <c r="D17" s="450"/>
      <c r="E17" s="451"/>
      <c r="F17" s="452"/>
      <c r="G17" s="452"/>
      <c r="H17" s="452"/>
      <c r="I17" s="452"/>
      <c r="J17" s="452"/>
      <c r="K17" s="452"/>
      <c r="L17" s="442"/>
      <c r="M17" s="443"/>
      <c r="N17" s="442"/>
      <c r="O17" s="443"/>
    </row>
    <row r="18" spans="1:15" s="241" customFormat="1" ht="20.100000000000001" customHeight="1">
      <c r="A18" s="372" t="s">
        <v>290</v>
      </c>
      <c r="B18" s="373"/>
      <c r="C18" s="373"/>
      <c r="D18" s="373"/>
      <c r="E18" s="373"/>
      <c r="F18" s="373"/>
      <c r="G18" s="373"/>
      <c r="H18" s="373"/>
      <c r="I18" s="373"/>
      <c r="J18" s="373"/>
      <c r="K18" s="374"/>
      <c r="L18" s="442"/>
      <c r="M18" s="443"/>
      <c r="N18" s="442"/>
      <c r="O18" s="443"/>
    </row>
    <row r="19" spans="1:15" s="241" customFormat="1" ht="23.25" customHeight="1">
      <c r="A19" s="449" t="s">
        <v>269</v>
      </c>
      <c r="B19" s="449"/>
      <c r="C19" s="449"/>
      <c r="D19" s="450">
        <v>192</v>
      </c>
      <c r="E19" s="451"/>
      <c r="F19" s="450">
        <v>315</v>
      </c>
      <c r="G19" s="451"/>
      <c r="H19" s="450">
        <v>219</v>
      </c>
      <c r="I19" s="451"/>
      <c r="J19" s="450">
        <f>штатка!N47/1000</f>
        <v>230.73852000000002</v>
      </c>
      <c r="K19" s="451"/>
      <c r="L19" s="442">
        <f t="shared" si="0"/>
        <v>1.0536005479452055</v>
      </c>
      <c r="M19" s="443"/>
      <c r="N19" s="442">
        <f t="shared" si="1"/>
        <v>0.73250323809523821</v>
      </c>
      <c r="O19" s="443"/>
    </row>
    <row r="20" spans="1:15" s="241" customFormat="1" ht="20.100000000000001" customHeight="1">
      <c r="A20" s="449" t="s">
        <v>294</v>
      </c>
      <c r="B20" s="449"/>
      <c r="C20" s="449"/>
      <c r="D20" s="450">
        <v>1943</v>
      </c>
      <c r="E20" s="451"/>
      <c r="F20" s="450">
        <v>1863</v>
      </c>
      <c r="G20" s="451"/>
      <c r="H20" s="450">
        <v>2857</v>
      </c>
      <c r="I20" s="451"/>
      <c r="J20" s="450">
        <f>штатка!N48/1000</f>
        <v>1293.7782610500001</v>
      </c>
      <c r="K20" s="451"/>
      <c r="L20" s="442">
        <f t="shared" si="0"/>
        <v>0.45284503361918099</v>
      </c>
      <c r="M20" s="443"/>
      <c r="N20" s="442">
        <f t="shared" si="1"/>
        <v>0.6944596140901772</v>
      </c>
      <c r="O20" s="443"/>
    </row>
    <row r="21" spans="1:15" s="241" customFormat="1" ht="20.100000000000001" customHeight="1">
      <c r="A21" s="449" t="s">
        <v>270</v>
      </c>
      <c r="B21" s="449"/>
      <c r="C21" s="449"/>
      <c r="D21" s="450"/>
      <c r="E21" s="451"/>
      <c r="F21" s="450"/>
      <c r="G21" s="451"/>
      <c r="H21" s="450"/>
      <c r="I21" s="451"/>
      <c r="J21" s="450">
        <f>штатка!N49/1000</f>
        <v>2020.6114998581252</v>
      </c>
      <c r="K21" s="451"/>
      <c r="L21" s="436" t="e">
        <f t="shared" si="0"/>
        <v>#DIV/0!</v>
      </c>
      <c r="M21" s="437"/>
      <c r="N21" s="442"/>
      <c r="O21" s="443"/>
    </row>
    <row r="22" spans="1:15" s="241" customFormat="1" ht="20.100000000000001" customHeight="1">
      <c r="A22" s="372" t="s">
        <v>291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4"/>
      <c r="L22" s="442"/>
      <c r="M22" s="443"/>
      <c r="N22" s="442"/>
      <c r="O22" s="443"/>
    </row>
    <row r="23" spans="1:15" s="241" customFormat="1" ht="20.100000000000001" customHeight="1">
      <c r="A23" s="449" t="s">
        <v>269</v>
      </c>
      <c r="B23" s="449"/>
      <c r="C23" s="449"/>
      <c r="D23" s="450">
        <v>234</v>
      </c>
      <c r="E23" s="451"/>
      <c r="F23" s="452">
        <v>384</v>
      </c>
      <c r="G23" s="452"/>
      <c r="H23" s="450">
        <f>H19+(H19*0.22)</f>
        <v>267.18</v>
      </c>
      <c r="I23" s="451"/>
      <c r="J23" s="450">
        <f>штатка!N52/1000</f>
        <v>281.50099440000002</v>
      </c>
      <c r="K23" s="451"/>
      <c r="L23" s="442">
        <f t="shared" si="0"/>
        <v>1.0536005479452055</v>
      </c>
      <c r="M23" s="443"/>
      <c r="N23" s="442">
        <f t="shared" si="1"/>
        <v>0.73307550625000006</v>
      </c>
      <c r="O23" s="443"/>
    </row>
    <row r="24" spans="1:15" s="241" customFormat="1" ht="20.100000000000001" customHeight="1">
      <c r="A24" s="449" t="s">
        <v>294</v>
      </c>
      <c r="B24" s="449"/>
      <c r="C24" s="449"/>
      <c r="D24" s="450">
        <v>2367</v>
      </c>
      <c r="E24" s="451"/>
      <c r="F24" s="452">
        <v>2273</v>
      </c>
      <c r="G24" s="452"/>
      <c r="H24" s="450">
        <v>3469</v>
      </c>
      <c r="I24" s="451"/>
      <c r="J24" s="450">
        <f>штатка!N53/1000</f>
        <v>1571.2635819630002</v>
      </c>
      <c r="K24" s="451"/>
      <c r="L24" s="442">
        <f t="shared" si="0"/>
        <v>0.45294424386364951</v>
      </c>
      <c r="M24" s="443"/>
      <c r="N24" s="442">
        <f t="shared" si="1"/>
        <v>0.69127302330092399</v>
      </c>
      <c r="O24" s="443"/>
    </row>
    <row r="25" spans="1:15" s="241" customFormat="1" ht="20.100000000000001" customHeight="1">
      <c r="A25" s="449" t="s">
        <v>270</v>
      </c>
      <c r="B25" s="449"/>
      <c r="C25" s="449"/>
      <c r="D25" s="450"/>
      <c r="E25" s="451"/>
      <c r="F25" s="452"/>
      <c r="G25" s="452"/>
      <c r="H25" s="450">
        <f t="shared" ref="H25" si="3">H21</f>
        <v>0</v>
      </c>
      <c r="I25" s="451"/>
      <c r="J25" s="450">
        <f>штатка!N54/1000+1</f>
        <v>2460.4443942509124</v>
      </c>
      <c r="K25" s="451"/>
      <c r="L25" s="436" t="e">
        <f t="shared" si="0"/>
        <v>#DIV/0!</v>
      </c>
      <c r="M25" s="437"/>
      <c r="N25" s="442"/>
      <c r="O25" s="443"/>
    </row>
    <row r="26" spans="1:15" s="241" customFormat="1" ht="38.25" customHeight="1">
      <c r="A26" s="372" t="s">
        <v>321</v>
      </c>
      <c r="B26" s="373"/>
      <c r="C26" s="373"/>
      <c r="D26" s="373"/>
      <c r="E26" s="373"/>
      <c r="F26" s="373"/>
      <c r="G26" s="373"/>
      <c r="H26" s="373"/>
      <c r="I26" s="373"/>
      <c r="J26" s="373"/>
      <c r="K26" s="374"/>
      <c r="L26" s="442"/>
      <c r="M26" s="443"/>
      <c r="N26" s="442"/>
      <c r="O26" s="443"/>
    </row>
    <row r="27" spans="1:15" s="241" customFormat="1" ht="20.100000000000001" customHeight="1">
      <c r="A27" s="433" t="s">
        <v>269</v>
      </c>
      <c r="B27" s="433"/>
      <c r="C27" s="433"/>
      <c r="D27" s="434">
        <v>16034</v>
      </c>
      <c r="E27" s="435"/>
      <c r="F27" s="444">
        <v>26250</v>
      </c>
      <c r="G27" s="445"/>
      <c r="H27" s="434">
        <v>18270</v>
      </c>
      <c r="I27" s="435"/>
      <c r="J27" s="434">
        <f>штатка!N57</f>
        <v>19228.210000000003</v>
      </c>
      <c r="K27" s="435"/>
      <c r="L27" s="442">
        <f t="shared" si="0"/>
        <v>1.0524471811713192</v>
      </c>
      <c r="M27" s="443"/>
      <c r="N27" s="442">
        <f t="shared" si="1"/>
        <v>0.73250323809523821</v>
      </c>
      <c r="O27" s="443"/>
    </row>
    <row r="28" spans="1:15" s="241" customFormat="1" ht="20.100000000000001" customHeight="1">
      <c r="A28" s="433" t="s">
        <v>294</v>
      </c>
      <c r="B28" s="433"/>
      <c r="C28" s="433"/>
      <c r="D28" s="434">
        <v>5505</v>
      </c>
      <c r="E28" s="435"/>
      <c r="F28" s="444">
        <v>10350</v>
      </c>
      <c r="G28" s="445"/>
      <c r="H28" s="434">
        <v>10855</v>
      </c>
      <c r="I28" s="435"/>
      <c r="J28" s="434">
        <f>штатка!N58</f>
        <v>9889.0195750000003</v>
      </c>
      <c r="K28" s="435"/>
      <c r="L28" s="442">
        <f t="shared" si="0"/>
        <v>0.91101055504375861</v>
      </c>
      <c r="M28" s="443"/>
      <c r="N28" s="442">
        <f t="shared" si="1"/>
        <v>0.95546082850241554</v>
      </c>
      <c r="O28" s="443"/>
    </row>
    <row r="29" spans="1:15" s="241" customFormat="1" ht="20.100000000000001" customHeight="1">
      <c r="A29" s="433" t="s">
        <v>270</v>
      </c>
      <c r="B29" s="433"/>
      <c r="C29" s="433"/>
      <c r="D29" s="434"/>
      <c r="E29" s="435"/>
      <c r="F29" s="444"/>
      <c r="G29" s="445"/>
      <c r="H29" s="434">
        <f>H21/12/37*1000</f>
        <v>0</v>
      </c>
      <c r="I29" s="435"/>
      <c r="J29" s="434">
        <f>штатка!N59</f>
        <v>5966.0254101388891</v>
      </c>
      <c r="K29" s="435"/>
      <c r="L29" s="436" t="e">
        <f t="shared" si="0"/>
        <v>#DIV/0!</v>
      </c>
      <c r="M29" s="437"/>
      <c r="N29" s="442"/>
      <c r="O29" s="443"/>
    </row>
    <row r="30" spans="1:15" s="241" customFormat="1" ht="20.100000000000001" customHeight="1">
      <c r="A30" s="446" t="s">
        <v>322</v>
      </c>
      <c r="B30" s="447"/>
      <c r="C30" s="447"/>
      <c r="D30" s="447"/>
      <c r="E30" s="447"/>
      <c r="F30" s="447"/>
      <c r="G30" s="447"/>
      <c r="H30" s="447"/>
      <c r="I30" s="447"/>
      <c r="J30" s="447"/>
      <c r="K30" s="448"/>
      <c r="L30" s="442"/>
      <c r="M30" s="443"/>
      <c r="N30" s="442"/>
      <c r="O30" s="443"/>
    </row>
    <row r="31" spans="1:15" s="241" customFormat="1" ht="20.100000000000001" customHeight="1">
      <c r="A31" s="433" t="s">
        <v>269</v>
      </c>
      <c r="B31" s="433"/>
      <c r="C31" s="433"/>
      <c r="D31" s="434">
        <v>16034</v>
      </c>
      <c r="E31" s="435"/>
      <c r="F31" s="434">
        <v>32000</v>
      </c>
      <c r="G31" s="435"/>
      <c r="H31" s="434">
        <f>H27</f>
        <v>18270</v>
      </c>
      <c r="I31" s="435"/>
      <c r="J31" s="434">
        <f>штатка!N62</f>
        <v>19228.210000000003</v>
      </c>
      <c r="K31" s="435"/>
      <c r="L31" s="442">
        <f t="shared" si="0"/>
        <v>1.0524471811713192</v>
      </c>
      <c r="M31" s="443"/>
      <c r="N31" s="442">
        <f t="shared" si="1"/>
        <v>0.60088156250000013</v>
      </c>
      <c r="O31" s="443"/>
    </row>
    <row r="32" spans="1:15" s="241" customFormat="1" ht="20.100000000000001" customHeight="1">
      <c r="A32" s="433" t="s">
        <v>294</v>
      </c>
      <c r="B32" s="433"/>
      <c r="C32" s="433"/>
      <c r="D32" s="434">
        <v>10794</v>
      </c>
      <c r="E32" s="435"/>
      <c r="F32" s="434">
        <v>12628</v>
      </c>
      <c r="G32" s="435"/>
      <c r="H32" s="434">
        <v>16282</v>
      </c>
      <c r="I32" s="435"/>
      <c r="J32" s="434">
        <f>штатка!N63</f>
        <v>14988.654362499999</v>
      </c>
      <c r="K32" s="435"/>
      <c r="L32" s="442">
        <f t="shared" si="0"/>
        <v>0.92056592325881337</v>
      </c>
      <c r="M32" s="443"/>
      <c r="N32" s="442">
        <f t="shared" si="1"/>
        <v>1.1869381028270509</v>
      </c>
      <c r="O32" s="443"/>
    </row>
    <row r="33" spans="1:15" s="241" customFormat="1" ht="20.100000000000001" customHeight="1">
      <c r="A33" s="433" t="s">
        <v>270</v>
      </c>
      <c r="B33" s="433"/>
      <c r="C33" s="433"/>
      <c r="D33" s="434"/>
      <c r="E33" s="435"/>
      <c r="F33" s="434">
        <f t="shared" ref="F33" si="4">F29</f>
        <v>0</v>
      </c>
      <c r="G33" s="435"/>
      <c r="H33" s="434">
        <f t="shared" ref="H33" si="5">H29</f>
        <v>0</v>
      </c>
      <c r="I33" s="435"/>
      <c r="J33" s="434">
        <f>штатка!N64</f>
        <v>8017.0640411342602</v>
      </c>
      <c r="K33" s="435"/>
      <c r="L33" s="440" t="e">
        <f t="shared" si="0"/>
        <v>#DIV/0!</v>
      </c>
      <c r="M33" s="441"/>
      <c r="N33" s="438"/>
      <c r="O33" s="439"/>
    </row>
    <row r="34" spans="1:15" ht="10.5" customHeight="1">
      <c r="A34" s="20"/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20.100000000000001" customHeight="1">
      <c r="A35" s="484" t="s">
        <v>323</v>
      </c>
      <c r="B35" s="484"/>
      <c r="C35" s="484"/>
      <c r="D35" s="484"/>
      <c r="E35" s="484"/>
      <c r="F35" s="484"/>
      <c r="G35" s="484"/>
      <c r="H35" s="484"/>
      <c r="I35" s="484"/>
      <c r="J35" s="484"/>
      <c r="K35" s="484"/>
      <c r="L35" s="484"/>
      <c r="M35" s="484"/>
      <c r="N35" s="484"/>
      <c r="O35" s="484"/>
    </row>
    <row r="36" spans="1:15" ht="15" customHeight="1">
      <c r="A36" s="21"/>
      <c r="B36" s="21"/>
      <c r="C36" s="21"/>
      <c r="D36" s="21"/>
      <c r="E36" s="21"/>
      <c r="F36" s="21"/>
      <c r="G36" s="21"/>
      <c r="H36" s="21"/>
      <c r="I36" s="21"/>
    </row>
    <row r="37" spans="1:15" ht="21.95" customHeight="1">
      <c r="A37" s="467" t="s">
        <v>324</v>
      </c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</row>
    <row r="38" spans="1:15" ht="10.5" customHeight="1"/>
    <row r="39" spans="1:15" ht="60" customHeight="1">
      <c r="A39" s="244" t="s">
        <v>151</v>
      </c>
      <c r="B39" s="471" t="s">
        <v>325</v>
      </c>
      <c r="C39" s="472"/>
      <c r="D39" s="472"/>
      <c r="E39" s="472"/>
      <c r="F39" s="417" t="s">
        <v>91</v>
      </c>
      <c r="G39" s="417"/>
      <c r="H39" s="417"/>
      <c r="I39" s="417"/>
      <c r="J39" s="417"/>
      <c r="K39" s="417"/>
      <c r="L39" s="417"/>
      <c r="M39" s="417"/>
      <c r="N39" s="417"/>
      <c r="O39" s="417"/>
    </row>
    <row r="40" spans="1:15" ht="18" customHeight="1">
      <c r="A40" s="244">
        <v>1</v>
      </c>
      <c r="B40" s="471">
        <v>2</v>
      </c>
      <c r="C40" s="472"/>
      <c r="D40" s="472"/>
      <c r="E40" s="472"/>
      <c r="F40" s="417">
        <v>3</v>
      </c>
      <c r="G40" s="417"/>
      <c r="H40" s="417"/>
      <c r="I40" s="417"/>
      <c r="J40" s="417"/>
      <c r="K40" s="417"/>
      <c r="L40" s="417"/>
      <c r="M40" s="417"/>
      <c r="N40" s="417"/>
      <c r="O40" s="417"/>
    </row>
    <row r="41" spans="1:15" ht="20.100000000000001" customHeight="1">
      <c r="A41" s="251"/>
      <c r="B41" s="476"/>
      <c r="C41" s="477"/>
      <c r="D41" s="477"/>
      <c r="E41" s="477"/>
      <c r="F41" s="479"/>
      <c r="G41" s="479"/>
      <c r="H41" s="479"/>
      <c r="I41" s="479"/>
      <c r="J41" s="479"/>
      <c r="K41" s="479"/>
      <c r="L41" s="479"/>
      <c r="M41" s="479"/>
      <c r="N41" s="479"/>
      <c r="O41" s="479"/>
    </row>
    <row r="42" spans="1:15" ht="20.100000000000001" customHeight="1">
      <c r="A42" s="251"/>
      <c r="B42" s="476"/>
      <c r="C42" s="477"/>
      <c r="D42" s="477"/>
      <c r="E42" s="477"/>
      <c r="F42" s="479"/>
      <c r="G42" s="479"/>
      <c r="H42" s="479"/>
      <c r="I42" s="479"/>
      <c r="J42" s="479"/>
      <c r="K42" s="479"/>
      <c r="L42" s="479"/>
      <c r="M42" s="479"/>
      <c r="N42" s="479"/>
      <c r="O42" s="479"/>
    </row>
    <row r="43" spans="1:15" ht="20.100000000000001" customHeight="1">
      <c r="A43" s="251"/>
      <c r="B43" s="476"/>
      <c r="C43" s="477"/>
      <c r="D43" s="477"/>
      <c r="E43" s="477"/>
      <c r="F43" s="479"/>
      <c r="G43" s="479"/>
      <c r="H43" s="479"/>
      <c r="I43" s="479"/>
      <c r="J43" s="479"/>
      <c r="K43" s="479"/>
      <c r="L43" s="479"/>
      <c r="M43" s="479"/>
      <c r="N43" s="479"/>
      <c r="O43" s="479"/>
    </row>
    <row r="44" spans="1:15" ht="20.100000000000001" customHeight="1">
      <c r="A44" s="251"/>
      <c r="B44" s="476"/>
      <c r="C44" s="477"/>
      <c r="D44" s="477"/>
      <c r="E44" s="477"/>
      <c r="F44" s="479"/>
      <c r="G44" s="479"/>
      <c r="H44" s="479"/>
      <c r="I44" s="479"/>
      <c r="J44" s="479"/>
      <c r="K44" s="479"/>
      <c r="L44" s="479"/>
      <c r="M44" s="479"/>
      <c r="N44" s="479"/>
      <c r="O44" s="479"/>
    </row>
    <row r="45" spans="1:15" ht="20.100000000000001" customHeight="1">
      <c r="A45" s="251"/>
      <c r="B45" s="476"/>
      <c r="C45" s="477"/>
      <c r="D45" s="477"/>
      <c r="E45" s="477"/>
      <c r="F45" s="479"/>
      <c r="G45" s="479"/>
      <c r="H45" s="479"/>
      <c r="I45" s="479"/>
      <c r="J45" s="479"/>
      <c r="K45" s="479"/>
      <c r="L45" s="479"/>
      <c r="M45" s="479"/>
      <c r="N45" s="479"/>
      <c r="O45" s="479"/>
    </row>
    <row r="46" spans="1:15" ht="20.100000000000001" customHeight="1">
      <c r="A46" s="251"/>
      <c r="B46" s="476"/>
      <c r="C46" s="477"/>
      <c r="D46" s="477"/>
      <c r="E46" s="477"/>
      <c r="F46" s="479"/>
      <c r="G46" s="479"/>
      <c r="H46" s="479"/>
      <c r="I46" s="479"/>
      <c r="J46" s="479"/>
      <c r="K46" s="479"/>
      <c r="L46" s="479"/>
      <c r="M46" s="479"/>
      <c r="N46" s="479"/>
      <c r="O46" s="479"/>
    </row>
    <row r="47" spans="1:15" ht="20.100000000000001" customHeight="1">
      <c r="A47" s="251"/>
      <c r="B47" s="476"/>
      <c r="C47" s="477"/>
      <c r="D47" s="477"/>
      <c r="E47" s="477"/>
      <c r="F47" s="479"/>
      <c r="G47" s="479"/>
      <c r="H47" s="479"/>
      <c r="I47" s="479"/>
      <c r="J47" s="479"/>
      <c r="K47" s="479"/>
      <c r="L47" s="479"/>
      <c r="M47" s="479"/>
      <c r="N47" s="479"/>
      <c r="O47" s="479"/>
    </row>
    <row r="48" spans="1:15" ht="20.100000000000001" customHeight="1">
      <c r="A48" s="251"/>
      <c r="B48" s="476"/>
      <c r="C48" s="477"/>
      <c r="D48" s="477"/>
      <c r="E48" s="477"/>
      <c r="F48" s="476"/>
      <c r="G48" s="477"/>
      <c r="H48" s="477"/>
      <c r="I48" s="477"/>
      <c r="J48" s="477"/>
      <c r="K48" s="477"/>
      <c r="L48" s="477"/>
      <c r="M48" s="477"/>
      <c r="N48" s="477"/>
      <c r="O48" s="478"/>
    </row>
    <row r="49" spans="1:15" ht="20.100000000000001" customHeight="1">
      <c r="A49" s="251"/>
      <c r="B49" s="476"/>
      <c r="C49" s="477"/>
      <c r="D49" s="477"/>
      <c r="E49" s="478"/>
      <c r="F49" s="476"/>
      <c r="G49" s="477"/>
      <c r="H49" s="477"/>
      <c r="I49" s="477"/>
      <c r="J49" s="477"/>
      <c r="K49" s="477"/>
      <c r="L49" s="477"/>
      <c r="M49" s="477"/>
      <c r="N49" s="477"/>
      <c r="O49" s="478"/>
    </row>
    <row r="50" spans="1:15" ht="20.100000000000001" customHeight="1">
      <c r="A50" s="66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21.95" customHeight="1">
      <c r="A51" s="480" t="s">
        <v>253</v>
      </c>
      <c r="B51" s="480"/>
      <c r="C51" s="480"/>
      <c r="D51" s="480"/>
      <c r="E51" s="480"/>
      <c r="F51" s="480"/>
      <c r="G51" s="480"/>
      <c r="H51" s="480"/>
      <c r="I51" s="480"/>
      <c r="J51" s="480"/>
    </row>
    <row r="52" spans="1:15" ht="20.100000000000001" customHeight="1">
      <c r="A52" s="16"/>
    </row>
    <row r="53" spans="1:15" ht="63.95" customHeight="1">
      <c r="A53" s="420" t="s">
        <v>271</v>
      </c>
      <c r="B53" s="420" t="s">
        <v>326</v>
      </c>
      <c r="C53" s="420"/>
      <c r="D53" s="466" t="s">
        <v>517</v>
      </c>
      <c r="E53" s="466"/>
      <c r="F53" s="466"/>
      <c r="G53" s="466" t="s">
        <v>518</v>
      </c>
      <c r="H53" s="466"/>
      <c r="I53" s="466"/>
      <c r="J53" s="481" t="s">
        <v>519</v>
      </c>
      <c r="K53" s="482"/>
      <c r="L53" s="483"/>
      <c r="M53" s="466" t="s">
        <v>520</v>
      </c>
      <c r="N53" s="466"/>
      <c r="O53" s="466"/>
    </row>
    <row r="54" spans="1:15" ht="168.75">
      <c r="A54" s="420"/>
      <c r="B54" s="239" t="s">
        <v>77</v>
      </c>
      <c r="C54" s="239" t="s">
        <v>78</v>
      </c>
      <c r="D54" s="239" t="s">
        <v>327</v>
      </c>
      <c r="E54" s="239" t="s">
        <v>328</v>
      </c>
      <c r="F54" s="239" t="s">
        <v>329</v>
      </c>
      <c r="G54" s="239" t="s">
        <v>327</v>
      </c>
      <c r="H54" s="239" t="s">
        <v>328</v>
      </c>
      <c r="I54" s="239" t="s">
        <v>329</v>
      </c>
      <c r="J54" s="239" t="s">
        <v>327</v>
      </c>
      <c r="K54" s="239" t="s">
        <v>328</v>
      </c>
      <c r="L54" s="239" t="s">
        <v>329</v>
      </c>
      <c r="M54" s="239" t="s">
        <v>327</v>
      </c>
      <c r="N54" s="239" t="s">
        <v>328</v>
      </c>
      <c r="O54" s="239" t="s">
        <v>329</v>
      </c>
    </row>
    <row r="55" spans="1:15" ht="18" customHeight="1">
      <c r="A55" s="239">
        <v>1</v>
      </c>
      <c r="B55" s="239">
        <v>2</v>
      </c>
      <c r="C55" s="239">
        <v>3</v>
      </c>
      <c r="D55" s="239">
        <v>4</v>
      </c>
      <c r="E55" s="239">
        <v>5</v>
      </c>
      <c r="F55" s="239">
        <v>6</v>
      </c>
      <c r="G55" s="239">
        <v>7</v>
      </c>
      <c r="H55" s="238">
        <v>8</v>
      </c>
      <c r="I55" s="238">
        <v>9</v>
      </c>
      <c r="J55" s="238">
        <v>10</v>
      </c>
      <c r="K55" s="238">
        <v>11</v>
      </c>
      <c r="L55" s="238">
        <v>12</v>
      </c>
      <c r="M55" s="238">
        <v>13</v>
      </c>
      <c r="N55" s="238">
        <v>14</v>
      </c>
      <c r="O55" s="238">
        <v>15</v>
      </c>
    </row>
    <row r="56" spans="1:15" ht="37.5">
      <c r="A56" s="138" t="s">
        <v>404</v>
      </c>
      <c r="B56" s="246">
        <v>0</v>
      </c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</row>
    <row r="57" spans="1:15" ht="20.100000000000001" customHeight="1">
      <c r="A57" s="139" t="s">
        <v>59</v>
      </c>
      <c r="B57" s="197">
        <f>B56</f>
        <v>0</v>
      </c>
      <c r="C57" s="197">
        <f t="shared" ref="C57:O57" si="6">C56</f>
        <v>0</v>
      </c>
      <c r="D57" s="197">
        <f t="shared" si="6"/>
        <v>0</v>
      </c>
      <c r="E57" s="197">
        <f t="shared" si="6"/>
        <v>0</v>
      </c>
      <c r="F57" s="197">
        <f t="shared" si="6"/>
        <v>0</v>
      </c>
      <c r="G57" s="197">
        <f t="shared" si="6"/>
        <v>0</v>
      </c>
      <c r="H57" s="197">
        <f t="shared" si="6"/>
        <v>0</v>
      </c>
      <c r="I57" s="197">
        <f t="shared" si="6"/>
        <v>0</v>
      </c>
      <c r="J57" s="197">
        <f t="shared" si="6"/>
        <v>0</v>
      </c>
      <c r="K57" s="197">
        <f t="shared" si="6"/>
        <v>0</v>
      </c>
      <c r="L57" s="197">
        <f t="shared" si="6"/>
        <v>0</v>
      </c>
      <c r="M57" s="197">
        <f t="shared" si="6"/>
        <v>0</v>
      </c>
      <c r="N57" s="197">
        <f t="shared" si="6"/>
        <v>0</v>
      </c>
      <c r="O57" s="197">
        <f t="shared" si="6"/>
        <v>0</v>
      </c>
    </row>
    <row r="58" spans="1:15" ht="20.100000000000001" customHeight="1">
      <c r="A58" s="18"/>
      <c r="B58" s="19"/>
      <c r="C58" s="19"/>
      <c r="D58" s="19"/>
      <c r="E58" s="19"/>
      <c r="F58" s="236"/>
      <c r="G58" s="236"/>
      <c r="H58" s="236"/>
      <c r="I58" s="243"/>
      <c r="J58" s="243"/>
      <c r="K58" s="243"/>
      <c r="L58" s="243"/>
      <c r="M58" s="243"/>
      <c r="N58" s="243"/>
      <c r="O58" s="243"/>
    </row>
    <row r="59" spans="1:15" ht="21.95" customHeight="1">
      <c r="A59" s="467" t="s">
        <v>79</v>
      </c>
      <c r="B59" s="467"/>
      <c r="C59" s="467"/>
      <c r="D59" s="467"/>
      <c r="E59" s="467"/>
      <c r="F59" s="467"/>
      <c r="G59" s="467"/>
      <c r="H59" s="467"/>
      <c r="I59" s="467"/>
      <c r="J59" s="467"/>
      <c r="K59" s="467"/>
      <c r="L59" s="467"/>
      <c r="M59" s="467"/>
      <c r="N59" s="467"/>
      <c r="O59" s="467"/>
    </row>
    <row r="60" spans="1:15" ht="20.100000000000001" customHeight="1">
      <c r="A60" s="16"/>
    </row>
    <row r="61" spans="1:15" ht="63.95" customHeight="1">
      <c r="A61" s="239" t="s">
        <v>140</v>
      </c>
      <c r="B61" s="420" t="s">
        <v>76</v>
      </c>
      <c r="C61" s="420"/>
      <c r="D61" s="420" t="s">
        <v>71</v>
      </c>
      <c r="E61" s="420"/>
      <c r="F61" s="420" t="s">
        <v>72</v>
      </c>
      <c r="G61" s="420"/>
      <c r="H61" s="420" t="s">
        <v>330</v>
      </c>
      <c r="I61" s="420"/>
      <c r="J61" s="420"/>
      <c r="K61" s="469" t="s">
        <v>92</v>
      </c>
      <c r="L61" s="470"/>
      <c r="M61" s="469" t="s">
        <v>37</v>
      </c>
      <c r="N61" s="351"/>
      <c r="O61" s="470"/>
    </row>
    <row r="62" spans="1:15" ht="18" customHeight="1">
      <c r="A62" s="238">
        <v>1</v>
      </c>
      <c r="B62" s="417">
        <v>2</v>
      </c>
      <c r="C62" s="417"/>
      <c r="D62" s="417">
        <v>3</v>
      </c>
      <c r="E62" s="417"/>
      <c r="F62" s="474">
        <v>4</v>
      </c>
      <c r="G62" s="474"/>
      <c r="H62" s="417">
        <v>5</v>
      </c>
      <c r="I62" s="417"/>
      <c r="J62" s="417"/>
      <c r="K62" s="417">
        <v>6</v>
      </c>
      <c r="L62" s="417"/>
      <c r="M62" s="471">
        <v>7</v>
      </c>
      <c r="N62" s="472"/>
      <c r="O62" s="473"/>
    </row>
    <row r="63" spans="1:15" ht="20.100000000000001" customHeight="1">
      <c r="A63" s="138"/>
      <c r="B63" s="460"/>
      <c r="C63" s="460"/>
      <c r="D63" s="460"/>
      <c r="E63" s="460"/>
      <c r="F63" s="460"/>
      <c r="G63" s="460"/>
      <c r="H63" s="460"/>
      <c r="I63" s="460"/>
      <c r="J63" s="460"/>
      <c r="K63" s="461"/>
      <c r="L63" s="462"/>
      <c r="M63" s="460"/>
      <c r="N63" s="460"/>
      <c r="O63" s="460"/>
    </row>
    <row r="64" spans="1:15" ht="20.100000000000001" customHeight="1">
      <c r="A64" s="138"/>
      <c r="B64" s="461"/>
      <c r="C64" s="462"/>
      <c r="D64" s="461"/>
      <c r="E64" s="462"/>
      <c r="F64" s="461"/>
      <c r="G64" s="462"/>
      <c r="H64" s="461"/>
      <c r="I64" s="475"/>
      <c r="J64" s="462"/>
      <c r="K64" s="461"/>
      <c r="L64" s="462"/>
      <c r="M64" s="461"/>
      <c r="N64" s="475"/>
      <c r="O64" s="462"/>
    </row>
    <row r="65" spans="1:15" ht="20.100000000000001" customHeight="1">
      <c r="A65" s="138"/>
      <c r="B65" s="460"/>
      <c r="C65" s="460"/>
      <c r="D65" s="460"/>
      <c r="E65" s="460"/>
      <c r="F65" s="460"/>
      <c r="G65" s="460"/>
      <c r="H65" s="460"/>
      <c r="I65" s="460"/>
      <c r="J65" s="460"/>
      <c r="K65" s="461"/>
      <c r="L65" s="462"/>
      <c r="M65" s="460"/>
      <c r="N65" s="460"/>
      <c r="O65" s="460"/>
    </row>
    <row r="66" spans="1:15" ht="20.100000000000001" customHeight="1">
      <c r="A66" s="139" t="s">
        <v>59</v>
      </c>
      <c r="B66" s="465" t="s">
        <v>38</v>
      </c>
      <c r="C66" s="465"/>
      <c r="D66" s="465" t="s">
        <v>38</v>
      </c>
      <c r="E66" s="465"/>
      <c r="F66" s="465" t="s">
        <v>38</v>
      </c>
      <c r="G66" s="465"/>
      <c r="H66" s="460"/>
      <c r="I66" s="460"/>
      <c r="J66" s="460"/>
      <c r="K66" s="463">
        <f>SUM(K63:L65)</f>
        <v>0</v>
      </c>
      <c r="L66" s="464"/>
      <c r="M66" s="460"/>
      <c r="N66" s="460"/>
      <c r="O66" s="460"/>
    </row>
    <row r="67" spans="1:15" ht="20.100000000000001" customHeight="1">
      <c r="A67" s="236"/>
      <c r="B67" s="22"/>
      <c r="C67" s="22"/>
      <c r="D67" s="22"/>
      <c r="E67" s="22"/>
      <c r="F67" s="22"/>
      <c r="G67" s="22"/>
      <c r="H67" s="22"/>
      <c r="I67" s="22"/>
      <c r="J67" s="22"/>
      <c r="K67" s="241"/>
      <c r="L67" s="241"/>
      <c r="M67" s="241"/>
      <c r="N67" s="241"/>
      <c r="O67" s="241"/>
    </row>
    <row r="68" spans="1:15" ht="21.95" customHeight="1">
      <c r="A68" s="467" t="s">
        <v>80</v>
      </c>
      <c r="B68" s="467"/>
      <c r="C68" s="467"/>
      <c r="D68" s="467"/>
      <c r="E68" s="467"/>
      <c r="F68" s="467"/>
      <c r="G68" s="467"/>
      <c r="H68" s="467"/>
      <c r="I68" s="467"/>
      <c r="J68" s="467"/>
      <c r="K68" s="467"/>
      <c r="L68" s="467"/>
      <c r="M68" s="467"/>
      <c r="N68" s="467"/>
      <c r="O68" s="467"/>
    </row>
    <row r="69" spans="1:15" ht="20.100000000000001" customHeight="1">
      <c r="A69" s="243"/>
      <c r="B69" s="14"/>
      <c r="C69" s="243"/>
      <c r="D69" s="243"/>
      <c r="E69" s="243"/>
      <c r="F69" s="243"/>
      <c r="G69" s="243"/>
      <c r="H69" s="243"/>
      <c r="I69" s="13"/>
    </row>
    <row r="70" spans="1:15" ht="63.95" customHeight="1">
      <c r="A70" s="466" t="s">
        <v>70</v>
      </c>
      <c r="B70" s="466"/>
      <c r="C70" s="466"/>
      <c r="D70" s="466" t="s">
        <v>93</v>
      </c>
      <c r="E70" s="466"/>
      <c r="F70" s="466"/>
      <c r="G70" s="466" t="s">
        <v>357</v>
      </c>
      <c r="H70" s="466"/>
      <c r="I70" s="466"/>
      <c r="J70" s="466" t="s">
        <v>351</v>
      </c>
      <c r="K70" s="466"/>
      <c r="L70" s="466"/>
      <c r="M70" s="466" t="s">
        <v>94</v>
      </c>
      <c r="N70" s="466"/>
      <c r="O70" s="466"/>
    </row>
    <row r="71" spans="1:15" ht="18" customHeight="1">
      <c r="A71" s="466">
        <v>1</v>
      </c>
      <c r="B71" s="466"/>
      <c r="C71" s="466"/>
      <c r="D71" s="466">
        <v>2</v>
      </c>
      <c r="E71" s="466"/>
      <c r="F71" s="466"/>
      <c r="G71" s="466">
        <v>3</v>
      </c>
      <c r="H71" s="466"/>
      <c r="I71" s="466"/>
      <c r="J71" s="468">
        <v>4</v>
      </c>
      <c r="K71" s="468"/>
      <c r="L71" s="468"/>
      <c r="M71" s="468">
        <v>5</v>
      </c>
      <c r="N71" s="468"/>
      <c r="O71" s="468"/>
    </row>
    <row r="72" spans="1:15" ht="20.100000000000001" customHeight="1">
      <c r="A72" s="453" t="s">
        <v>331</v>
      </c>
      <c r="B72" s="453"/>
      <c r="C72" s="453"/>
      <c r="D72" s="457"/>
      <c r="E72" s="457"/>
      <c r="F72" s="457"/>
      <c r="G72" s="457"/>
      <c r="H72" s="457"/>
      <c r="I72" s="457"/>
      <c r="J72" s="457"/>
      <c r="K72" s="457"/>
      <c r="L72" s="457"/>
      <c r="M72" s="457"/>
      <c r="N72" s="457"/>
      <c r="O72" s="457"/>
    </row>
    <row r="73" spans="1:15" ht="20.100000000000001" customHeight="1">
      <c r="A73" s="453" t="s">
        <v>115</v>
      </c>
      <c r="B73" s="453"/>
      <c r="C73" s="453"/>
      <c r="D73" s="457"/>
      <c r="E73" s="457"/>
      <c r="F73" s="457"/>
      <c r="G73" s="457"/>
      <c r="H73" s="457"/>
      <c r="I73" s="457"/>
      <c r="J73" s="457"/>
      <c r="K73" s="457"/>
      <c r="L73" s="457"/>
      <c r="M73" s="457"/>
      <c r="N73" s="457"/>
      <c r="O73" s="457"/>
    </row>
    <row r="74" spans="1:15" ht="20.100000000000001" customHeight="1">
      <c r="A74" s="453"/>
      <c r="B74" s="453"/>
      <c r="C74" s="453"/>
      <c r="D74" s="450"/>
      <c r="E74" s="459"/>
      <c r="F74" s="451"/>
      <c r="G74" s="450"/>
      <c r="H74" s="459"/>
      <c r="I74" s="451"/>
      <c r="J74" s="450"/>
      <c r="K74" s="459"/>
      <c r="L74" s="451"/>
      <c r="M74" s="450"/>
      <c r="N74" s="459"/>
      <c r="O74" s="451"/>
    </row>
    <row r="75" spans="1:15" ht="20.100000000000001" customHeight="1">
      <c r="A75" s="453" t="s">
        <v>332</v>
      </c>
      <c r="B75" s="453"/>
      <c r="C75" s="453"/>
      <c r="D75" s="457"/>
      <c r="E75" s="457"/>
      <c r="F75" s="457"/>
      <c r="G75" s="457"/>
      <c r="H75" s="457"/>
      <c r="I75" s="457"/>
      <c r="J75" s="457"/>
      <c r="K75" s="457"/>
      <c r="L75" s="457"/>
      <c r="M75" s="457"/>
      <c r="N75" s="457"/>
      <c r="O75" s="457"/>
    </row>
    <row r="76" spans="1:15" ht="20.100000000000001" customHeight="1">
      <c r="A76" s="453" t="s">
        <v>116</v>
      </c>
      <c r="B76" s="453"/>
      <c r="C76" s="453"/>
      <c r="D76" s="457"/>
      <c r="E76" s="457"/>
      <c r="F76" s="457"/>
      <c r="G76" s="457"/>
      <c r="H76" s="457"/>
      <c r="I76" s="457"/>
      <c r="J76" s="457"/>
      <c r="K76" s="457"/>
      <c r="L76" s="457"/>
      <c r="M76" s="457"/>
      <c r="N76" s="457"/>
      <c r="O76" s="457"/>
    </row>
    <row r="77" spans="1:15" ht="20.100000000000001" customHeight="1">
      <c r="A77" s="453"/>
      <c r="B77" s="453"/>
      <c r="C77" s="453"/>
      <c r="D77" s="450"/>
      <c r="E77" s="459"/>
      <c r="F77" s="451"/>
      <c r="G77" s="450"/>
      <c r="H77" s="459"/>
      <c r="I77" s="451"/>
      <c r="J77" s="450"/>
      <c r="K77" s="459"/>
      <c r="L77" s="451"/>
      <c r="M77" s="450"/>
      <c r="N77" s="459"/>
      <c r="O77" s="451"/>
    </row>
    <row r="78" spans="1:15" ht="20.100000000000001" customHeight="1">
      <c r="A78" s="453" t="s">
        <v>333</v>
      </c>
      <c r="B78" s="453"/>
      <c r="C78" s="453"/>
      <c r="D78" s="457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</row>
    <row r="79" spans="1:15" ht="20.100000000000001" customHeight="1">
      <c r="A79" s="453" t="s">
        <v>115</v>
      </c>
      <c r="B79" s="453"/>
      <c r="C79" s="453"/>
      <c r="D79" s="457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</row>
    <row r="80" spans="1:15" ht="20.100000000000001" customHeight="1">
      <c r="A80" s="454"/>
      <c r="B80" s="455"/>
      <c r="C80" s="456"/>
      <c r="D80" s="457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</row>
    <row r="81" spans="1:15" ht="20.100000000000001" customHeight="1">
      <c r="A81" s="454" t="s">
        <v>59</v>
      </c>
      <c r="B81" s="455"/>
      <c r="C81" s="456"/>
      <c r="D81" s="458"/>
      <c r="E81" s="458"/>
      <c r="F81" s="458"/>
      <c r="G81" s="458"/>
      <c r="H81" s="458"/>
      <c r="I81" s="458"/>
      <c r="J81" s="457"/>
      <c r="K81" s="457"/>
      <c r="L81" s="457"/>
      <c r="M81" s="457"/>
      <c r="N81" s="457"/>
      <c r="O81" s="457"/>
    </row>
    <row r="82" spans="1:15">
      <c r="C82" s="28"/>
      <c r="D82" s="28"/>
      <c r="E82" s="28"/>
    </row>
    <row r="83" spans="1:15">
      <c r="C83" s="28"/>
      <c r="D83" s="28"/>
      <c r="E83" s="28"/>
    </row>
    <row r="84" spans="1:15">
      <c r="C84" s="28"/>
      <c r="D84" s="28"/>
      <c r="E84" s="28"/>
    </row>
    <row r="85" spans="1:15">
      <c r="C85" s="28"/>
      <c r="D85" s="28"/>
      <c r="E85" s="28"/>
    </row>
    <row r="86" spans="1:15">
      <c r="C86" s="28"/>
      <c r="D86" s="28"/>
      <c r="E86" s="28"/>
    </row>
    <row r="87" spans="1:15">
      <c r="C87" s="28"/>
      <c r="D87" s="28"/>
      <c r="E87" s="28"/>
    </row>
    <row r="88" spans="1:15">
      <c r="C88" s="28"/>
      <c r="D88" s="28"/>
      <c r="E88" s="28"/>
    </row>
    <row r="89" spans="1:15">
      <c r="C89" s="28"/>
      <c r="D89" s="28"/>
      <c r="E89" s="28"/>
    </row>
    <row r="90" spans="1:15">
      <c r="C90" s="28"/>
      <c r="D90" s="28"/>
      <c r="E90" s="28"/>
    </row>
    <row r="91" spans="1:15">
      <c r="C91" s="28"/>
      <c r="D91" s="28"/>
      <c r="E91" s="28"/>
    </row>
    <row r="92" spans="1:15">
      <c r="C92" s="28"/>
      <c r="D92" s="28"/>
      <c r="E92" s="28"/>
    </row>
    <row r="93" spans="1:15">
      <c r="C93" s="28"/>
      <c r="D93" s="28"/>
      <c r="E93" s="28"/>
    </row>
    <row r="94" spans="1:15">
      <c r="C94" s="28"/>
      <c r="D94" s="28"/>
      <c r="E94" s="28"/>
    </row>
    <row r="95" spans="1:15">
      <c r="C95" s="28"/>
      <c r="D95" s="28"/>
      <c r="E95" s="28"/>
    </row>
  </sheetData>
  <sheetProtection insertColumns="0" insertRows="0"/>
  <mergeCells count="290">
    <mergeCell ref="A1:O1"/>
    <mergeCell ref="A2:O2"/>
    <mergeCell ref="A3:O3"/>
    <mergeCell ref="D9:E9"/>
    <mergeCell ref="F9:G9"/>
    <mergeCell ref="A9:C9"/>
    <mergeCell ref="N9:O9"/>
    <mergeCell ref="A4:O4"/>
    <mergeCell ref="A5:O5"/>
    <mergeCell ref="L9:M9"/>
    <mergeCell ref="A7:O7"/>
    <mergeCell ref="J9:K9"/>
    <mergeCell ref="H9:I9"/>
    <mergeCell ref="F12:G12"/>
    <mergeCell ref="H12:I12"/>
    <mergeCell ref="J12:K12"/>
    <mergeCell ref="F10:G10"/>
    <mergeCell ref="L12:M12"/>
    <mergeCell ref="F14:G14"/>
    <mergeCell ref="D13:E13"/>
    <mergeCell ref="J10:K10"/>
    <mergeCell ref="D10:E10"/>
    <mergeCell ref="L10:M10"/>
    <mergeCell ref="J16:K16"/>
    <mergeCell ref="N12:O12"/>
    <mergeCell ref="H10:I10"/>
    <mergeCell ref="N10:O10"/>
    <mergeCell ref="N11:O11"/>
    <mergeCell ref="L11:M11"/>
    <mergeCell ref="F13:G13"/>
    <mergeCell ref="A13:C13"/>
    <mergeCell ref="L16:M16"/>
    <mergeCell ref="N16:O16"/>
    <mergeCell ref="N15:O15"/>
    <mergeCell ref="A15:C15"/>
    <mergeCell ref="H16:I16"/>
    <mergeCell ref="H15:I15"/>
    <mergeCell ref="D15:E15"/>
    <mergeCell ref="H13:I13"/>
    <mergeCell ref="A12:C12"/>
    <mergeCell ref="A10:C10"/>
    <mergeCell ref="J14:K14"/>
    <mergeCell ref="H14:I14"/>
    <mergeCell ref="L13:M13"/>
    <mergeCell ref="J13:K13"/>
    <mergeCell ref="A11:K11"/>
    <mergeCell ref="D12:E12"/>
    <mergeCell ref="A35:O35"/>
    <mergeCell ref="F19:G19"/>
    <mergeCell ref="D19:E19"/>
    <mergeCell ref="N22:O22"/>
    <mergeCell ref="N21:O21"/>
    <mergeCell ref="N17:O17"/>
    <mergeCell ref="N14:O14"/>
    <mergeCell ref="N13:O13"/>
    <mergeCell ref="D14:E14"/>
    <mergeCell ref="A14:C14"/>
    <mergeCell ref="F20:G20"/>
    <mergeCell ref="H20:I20"/>
    <mergeCell ref="J20:K20"/>
    <mergeCell ref="L20:M20"/>
    <mergeCell ref="N20:O20"/>
    <mergeCell ref="A17:C17"/>
    <mergeCell ref="D17:E17"/>
    <mergeCell ref="F15:G15"/>
    <mergeCell ref="D16:E16"/>
    <mergeCell ref="F16:G16"/>
    <mergeCell ref="A16:C16"/>
    <mergeCell ref="L15:M15"/>
    <mergeCell ref="L14:M14"/>
    <mergeCell ref="J15:K15"/>
    <mergeCell ref="H17:I17"/>
    <mergeCell ref="L18:M18"/>
    <mergeCell ref="L17:M17"/>
    <mergeCell ref="A18:K18"/>
    <mergeCell ref="N18:O18"/>
    <mergeCell ref="A22:K22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J17:K17"/>
    <mergeCell ref="A19:C19"/>
    <mergeCell ref="F17:G17"/>
    <mergeCell ref="L21:M21"/>
    <mergeCell ref="L23:M23"/>
    <mergeCell ref="L22:M22"/>
    <mergeCell ref="L19:M19"/>
    <mergeCell ref="H19:I19"/>
    <mergeCell ref="J19:K19"/>
    <mergeCell ref="F44:O44"/>
    <mergeCell ref="B42:E42"/>
    <mergeCell ref="B44:E44"/>
    <mergeCell ref="A37:O37"/>
    <mergeCell ref="F40:O40"/>
    <mergeCell ref="B40:E40"/>
    <mergeCell ref="F39:O39"/>
    <mergeCell ref="B39:E39"/>
    <mergeCell ref="B41:E41"/>
    <mergeCell ref="F42:O42"/>
    <mergeCell ref="F41:O41"/>
    <mergeCell ref="B43:E43"/>
    <mergeCell ref="F43:O43"/>
    <mergeCell ref="N19:O19"/>
    <mergeCell ref="A20:C20"/>
    <mergeCell ref="D20:E20"/>
    <mergeCell ref="A21:C21"/>
    <mergeCell ref="D21:E21"/>
    <mergeCell ref="F21:G21"/>
    <mergeCell ref="H21:I21"/>
    <mergeCell ref="J21:K21"/>
    <mergeCell ref="F23:G23"/>
    <mergeCell ref="H23:I23"/>
    <mergeCell ref="J23:K23"/>
    <mergeCell ref="D23:E23"/>
    <mergeCell ref="B64:C64"/>
    <mergeCell ref="D64:E64"/>
    <mergeCell ref="B49:E49"/>
    <mergeCell ref="F45:O45"/>
    <mergeCell ref="B45:E45"/>
    <mergeCell ref="B46:E46"/>
    <mergeCell ref="F46:O46"/>
    <mergeCell ref="F47:O47"/>
    <mergeCell ref="B47:E47"/>
    <mergeCell ref="A51:J51"/>
    <mergeCell ref="B53:C53"/>
    <mergeCell ref="D53:F53"/>
    <mergeCell ref="F48:O48"/>
    <mergeCell ref="F49:O49"/>
    <mergeCell ref="G53:I53"/>
    <mergeCell ref="J53:L53"/>
    <mergeCell ref="M53:O53"/>
    <mergeCell ref="A53:A54"/>
    <mergeCell ref="B48:E48"/>
    <mergeCell ref="F64:G64"/>
    <mergeCell ref="H64:J64"/>
    <mergeCell ref="A71:C71"/>
    <mergeCell ref="M72:O72"/>
    <mergeCell ref="J71:L71"/>
    <mergeCell ref="K64:L64"/>
    <mergeCell ref="F63:G63"/>
    <mergeCell ref="M61:O61"/>
    <mergeCell ref="K62:L62"/>
    <mergeCell ref="M62:O62"/>
    <mergeCell ref="A59:O59"/>
    <mergeCell ref="B61:C61"/>
    <mergeCell ref="D61:E61"/>
    <mergeCell ref="F61:G61"/>
    <mergeCell ref="H61:J61"/>
    <mergeCell ref="K61:L61"/>
    <mergeCell ref="M63:O63"/>
    <mergeCell ref="B62:C62"/>
    <mergeCell ref="F62:G62"/>
    <mergeCell ref="H62:J62"/>
    <mergeCell ref="B63:C63"/>
    <mergeCell ref="H63:J63"/>
    <mergeCell ref="K63:L63"/>
    <mergeCell ref="D62:E62"/>
    <mergeCell ref="D63:E63"/>
    <mergeCell ref="M64:O64"/>
    <mergeCell ref="A73:C73"/>
    <mergeCell ref="D73:F73"/>
    <mergeCell ref="G73:I73"/>
    <mergeCell ref="J72:L72"/>
    <mergeCell ref="B66:C66"/>
    <mergeCell ref="D66:E66"/>
    <mergeCell ref="F66:G66"/>
    <mergeCell ref="B65:C65"/>
    <mergeCell ref="A74:C74"/>
    <mergeCell ref="D74:F74"/>
    <mergeCell ref="A72:C72"/>
    <mergeCell ref="D72:F72"/>
    <mergeCell ref="G74:I74"/>
    <mergeCell ref="J74:L74"/>
    <mergeCell ref="D71:F71"/>
    <mergeCell ref="A68:O68"/>
    <mergeCell ref="A70:C70"/>
    <mergeCell ref="D70:F70"/>
    <mergeCell ref="G70:I70"/>
    <mergeCell ref="J70:L70"/>
    <mergeCell ref="M71:O71"/>
    <mergeCell ref="M70:O70"/>
    <mergeCell ref="G71:I71"/>
    <mergeCell ref="J73:L73"/>
    <mergeCell ref="D65:E65"/>
    <mergeCell ref="H65:J65"/>
    <mergeCell ref="H66:J66"/>
    <mergeCell ref="F65:G65"/>
    <mergeCell ref="J78:L78"/>
    <mergeCell ref="J80:L80"/>
    <mergeCell ref="M78:O78"/>
    <mergeCell ref="J76:L76"/>
    <mergeCell ref="M76:O76"/>
    <mergeCell ref="M77:O77"/>
    <mergeCell ref="J77:L77"/>
    <mergeCell ref="D80:F80"/>
    <mergeCell ref="K65:L65"/>
    <mergeCell ref="M65:O65"/>
    <mergeCell ref="K66:L66"/>
    <mergeCell ref="M66:O66"/>
    <mergeCell ref="G72:I72"/>
    <mergeCell ref="G75:I75"/>
    <mergeCell ref="M75:O75"/>
    <mergeCell ref="J75:L75"/>
    <mergeCell ref="M73:O73"/>
    <mergeCell ref="M74:O74"/>
    <mergeCell ref="J81:L81"/>
    <mergeCell ref="M80:O80"/>
    <mergeCell ref="J79:L79"/>
    <mergeCell ref="M81:O81"/>
    <mergeCell ref="M79:O79"/>
    <mergeCell ref="G77:I77"/>
    <mergeCell ref="D77:F77"/>
    <mergeCell ref="D76:F76"/>
    <mergeCell ref="G76:I76"/>
    <mergeCell ref="A79:C79"/>
    <mergeCell ref="A80:C80"/>
    <mergeCell ref="G80:I80"/>
    <mergeCell ref="D75:F75"/>
    <mergeCell ref="G79:I79"/>
    <mergeCell ref="A75:C75"/>
    <mergeCell ref="D79:F79"/>
    <mergeCell ref="A81:C81"/>
    <mergeCell ref="D81:F81"/>
    <mergeCell ref="G81:I81"/>
    <mergeCell ref="A78:C78"/>
    <mergeCell ref="D78:F78"/>
    <mergeCell ref="G78:I78"/>
    <mergeCell ref="A77:C77"/>
    <mergeCell ref="A76:C76"/>
    <mergeCell ref="A27:C27"/>
    <mergeCell ref="D27:E27"/>
    <mergeCell ref="N26:O26"/>
    <mergeCell ref="A25:C25"/>
    <mergeCell ref="D25:E25"/>
    <mergeCell ref="F25:G25"/>
    <mergeCell ref="H25:I25"/>
    <mergeCell ref="J25:K25"/>
    <mergeCell ref="L25:M25"/>
    <mergeCell ref="N25:O25"/>
    <mergeCell ref="L27:M27"/>
    <mergeCell ref="L26:M26"/>
    <mergeCell ref="F27:G27"/>
    <mergeCell ref="H27:I27"/>
    <mergeCell ref="J27:K27"/>
    <mergeCell ref="A26:K26"/>
    <mergeCell ref="N27:O27"/>
    <mergeCell ref="N31:O31"/>
    <mergeCell ref="L31:M31"/>
    <mergeCell ref="L30:M30"/>
    <mergeCell ref="N30:O30"/>
    <mergeCell ref="A30:K30"/>
    <mergeCell ref="A31:C31"/>
    <mergeCell ref="D31:E31"/>
    <mergeCell ref="A28:C28"/>
    <mergeCell ref="D28:E28"/>
    <mergeCell ref="F28:G28"/>
    <mergeCell ref="H28:I28"/>
    <mergeCell ref="J28:K28"/>
    <mergeCell ref="L28:M28"/>
    <mergeCell ref="N28:O28"/>
    <mergeCell ref="A32:C32"/>
    <mergeCell ref="D32:E32"/>
    <mergeCell ref="F32:G32"/>
    <mergeCell ref="H32:I32"/>
    <mergeCell ref="F31:G31"/>
    <mergeCell ref="J29:K29"/>
    <mergeCell ref="L29:M29"/>
    <mergeCell ref="N33:O33"/>
    <mergeCell ref="A33:C33"/>
    <mergeCell ref="D33:E33"/>
    <mergeCell ref="F33:G33"/>
    <mergeCell ref="H33:I33"/>
    <mergeCell ref="J33:K33"/>
    <mergeCell ref="L33:M33"/>
    <mergeCell ref="J32:K32"/>
    <mergeCell ref="L32:M32"/>
    <mergeCell ref="N32:O32"/>
    <mergeCell ref="N29:O29"/>
    <mergeCell ref="A29:C29"/>
    <mergeCell ref="D29:E29"/>
    <mergeCell ref="F29:G29"/>
    <mergeCell ref="H29:I29"/>
    <mergeCell ref="H31:I31"/>
    <mergeCell ref="J31:K31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50" orientation="landscape" horizontalDpi="4294967293" verticalDpi="1200" r:id="rId1"/>
  <headerFooter alignWithMargins="0"/>
  <rowBreaks count="1" manualBreakCount="1">
    <brk id="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14</vt:i4>
      </vt:variant>
    </vt:vector>
  </HeadingPairs>
  <TitlesOfParts>
    <vt:vector size="25" baseType="lpstr">
      <vt:lpstr>Лист1</vt:lpstr>
      <vt:lpstr>тітул</vt:lpstr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штатка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  <vt:lpstr>тітул!Область_печати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2020-02-18T11:38:40Z</cp:lastPrinted>
  <dcterms:created xsi:type="dcterms:W3CDTF">2003-03-13T16:00:22Z</dcterms:created>
  <dcterms:modified xsi:type="dcterms:W3CDTF">2020-02-18T11:45:44Z</dcterms:modified>
</cp:coreProperties>
</file>